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폴더\2021년도\일일업무\생산일보\"/>
    </mc:Choice>
  </mc:AlternateContent>
  <xr:revisionPtr revIDLastSave="0" documentId="13_ncr:1_{FA33A55B-DB9B-47E5-A091-0F4F24A6307B}" xr6:coauthVersionLast="47" xr6:coauthVersionMax="47" xr10:uidLastSave="{00000000-0000-0000-0000-000000000000}"/>
  <bookViews>
    <workbookView xWindow="-120" yWindow="-120" windowWidth="29040" windowHeight="15840" firstSheet="5" activeTab="27" xr2:uid="{00000000-000D-0000-FFFF-FFFF00000000}"/>
  </bookViews>
  <sheets>
    <sheet name="01" sheetId="2000" r:id="rId1"/>
    <sheet name="03" sheetId="2001" r:id="rId2"/>
    <sheet name="04" sheetId="2002" r:id="rId3"/>
    <sheet name="05" sheetId="2003" r:id="rId4"/>
    <sheet name="06" sheetId="2004" r:id="rId5"/>
    <sheet name="07" sheetId="2005" r:id="rId6"/>
    <sheet name="08" sheetId="2006" r:id="rId7"/>
    <sheet name="10" sheetId="2007" r:id="rId8"/>
    <sheet name="11" sheetId="2008" r:id="rId9"/>
    <sheet name="12" sheetId="2009" r:id="rId10"/>
    <sheet name="13" sheetId="2010" r:id="rId11"/>
    <sheet name="14" sheetId="2011" r:id="rId12"/>
    <sheet name="15" sheetId="2012" r:id="rId13"/>
    <sheet name="17" sheetId="2013" r:id="rId14"/>
    <sheet name="18" sheetId="2014" r:id="rId15"/>
    <sheet name="19" sheetId="2015" r:id="rId16"/>
    <sheet name="20" sheetId="2016" r:id="rId17"/>
    <sheet name="21" sheetId="2017" r:id="rId18"/>
    <sheet name="22" sheetId="2018" r:id="rId19"/>
    <sheet name="23" sheetId="2019" r:id="rId20"/>
    <sheet name="24" sheetId="2020" r:id="rId21"/>
    <sheet name="25" sheetId="2021" r:id="rId22"/>
    <sheet name="26" sheetId="2022" r:id="rId23"/>
    <sheet name="27" sheetId="2023" r:id="rId24"/>
    <sheet name="28" sheetId="2024" r:id="rId25"/>
    <sheet name="29" sheetId="2025" r:id="rId26"/>
    <sheet name="30" sheetId="2026" r:id="rId27"/>
    <sheet name="31" sheetId="2027" r:id="rId28"/>
    <sheet name="총괄" sheetId="16" r:id="rId29"/>
  </sheets>
  <definedNames>
    <definedName name="_xlnm.Print_Area" localSheetId="0">'01'!$A$1:$AD$93</definedName>
    <definedName name="_xlnm.Print_Area" localSheetId="1">'03'!$A$1:$AD$93</definedName>
    <definedName name="_xlnm.Print_Area" localSheetId="2">'04'!$A$1:$AD$93</definedName>
    <definedName name="_xlnm.Print_Area" localSheetId="3">'05'!$A$1:$AD$94</definedName>
    <definedName name="_xlnm.Print_Area" localSheetId="4">'06'!$A$1:$AD$93</definedName>
    <definedName name="_xlnm.Print_Area" localSheetId="5">'07'!$A$1:$AD$93</definedName>
    <definedName name="_xlnm.Print_Area" localSheetId="6">'08'!$A$1:$AD$93</definedName>
    <definedName name="_xlnm.Print_Area" localSheetId="7">'10'!$A$1:$AD$93</definedName>
    <definedName name="_xlnm.Print_Area" localSheetId="8">'11'!$A$1:$AD$94</definedName>
    <definedName name="_xlnm.Print_Area" localSheetId="9">'12'!$A$1:$AD$95</definedName>
    <definedName name="_xlnm.Print_Area" localSheetId="10">'13'!$A$1:$AD$94</definedName>
    <definedName name="_xlnm.Print_Area" localSheetId="11">'14'!$A$1:$AD$95</definedName>
    <definedName name="_xlnm.Print_Area" localSheetId="12">'15'!$A$1:$AD$93</definedName>
    <definedName name="_xlnm.Print_Area" localSheetId="13">'17'!$A$1:$AD$93</definedName>
    <definedName name="_xlnm.Print_Area" localSheetId="14">'18'!$A$1:$AD$93</definedName>
    <definedName name="_xlnm.Print_Area" localSheetId="15">'19'!$A$1:$AD$94</definedName>
    <definedName name="_xlnm.Print_Area" localSheetId="16">'20'!$A$1:$AD$95</definedName>
    <definedName name="_xlnm.Print_Area" localSheetId="17">'21'!$A$1:$AD$93</definedName>
    <definedName name="_xlnm.Print_Area" localSheetId="18">'22'!$A$1:$AD$94</definedName>
    <definedName name="_xlnm.Print_Area" localSheetId="19">'23'!$A$1:$AD$93</definedName>
    <definedName name="_xlnm.Print_Area" localSheetId="20">'24'!$A$1:$AD$93</definedName>
    <definedName name="_xlnm.Print_Area" localSheetId="21">'25'!$A$1:$AD$93</definedName>
    <definedName name="_xlnm.Print_Area" localSheetId="22">'26'!$A$1:$AD$94</definedName>
    <definedName name="_xlnm.Print_Area" localSheetId="23">'27'!$A$1:$AD$93</definedName>
    <definedName name="_xlnm.Print_Area" localSheetId="24">'28'!$A$1:$AD$94</definedName>
    <definedName name="_xlnm.Print_Area" localSheetId="25">'29'!$A$1:$AD$93</definedName>
    <definedName name="_xlnm.Print_Area" localSheetId="26">'30'!$A$1:$AD$93</definedName>
    <definedName name="_xlnm.Print_Area" localSheetId="27">'31'!$A$1:$AD$93</definedName>
    <definedName name="ㅁ1" localSheetId="0">'01'!$M$1048528:$M$1048576</definedName>
    <definedName name="ㅁ1" localSheetId="1">'03'!$M$1048528:$M$1048576</definedName>
    <definedName name="ㅁ1" localSheetId="2">'04'!$M$1048528:$M$1048576</definedName>
    <definedName name="ㅁ1" localSheetId="3">'05'!$M$1048529:$M$1048576</definedName>
    <definedName name="ㅁ1" localSheetId="4">'06'!$M$1048528:$M$1048576</definedName>
    <definedName name="ㅁ1" localSheetId="5">'07'!$M$1048528:$M$1048576</definedName>
    <definedName name="ㅁ1" localSheetId="6">'08'!$M$1048528:$M$1048576</definedName>
    <definedName name="ㅁ1" localSheetId="7">'10'!$M$1048528:$M$1048576</definedName>
    <definedName name="ㅁ1" localSheetId="8">'11'!$M$1048529:$M$1048576</definedName>
    <definedName name="ㅁ1" localSheetId="9">'12'!$M$1048530:$M$1048576</definedName>
    <definedName name="ㅁ1" localSheetId="10">'13'!$M$1048529:$M$1048576</definedName>
    <definedName name="ㅁ1" localSheetId="11">'14'!$M$1048530:$M$1048576</definedName>
    <definedName name="ㅁ1" localSheetId="12">'15'!$M$1048528:$M$1048576</definedName>
    <definedName name="ㅁ1" localSheetId="13">'17'!$M$1048528:$M$1048576</definedName>
    <definedName name="ㅁ1" localSheetId="14">'18'!$M$1048528:$M$1048576</definedName>
    <definedName name="ㅁ1" localSheetId="15">'19'!$M$1048529:$M$1048576</definedName>
    <definedName name="ㅁ1" localSheetId="16">'20'!$M$1048530:$M$1048576</definedName>
    <definedName name="ㅁ1" localSheetId="17">'21'!$M$1048528:$M$1048576</definedName>
    <definedName name="ㅁ1" localSheetId="18">'22'!$M$1048529:$M$1048576</definedName>
    <definedName name="ㅁ1" localSheetId="19">'23'!$M$1048528:$M$1048576</definedName>
    <definedName name="ㅁ1" localSheetId="20">'24'!$M$1048528:$M$1048576</definedName>
    <definedName name="ㅁ1" localSheetId="21">'25'!$M$1048528:$M$1048576</definedName>
    <definedName name="ㅁ1" localSheetId="22">'26'!$M$1048529:$M$1048576</definedName>
    <definedName name="ㅁ1" localSheetId="23">'27'!$M$1048528:$M$1048576</definedName>
    <definedName name="ㅁ1" localSheetId="24">'28'!$M$1048529:$M$1048576</definedName>
    <definedName name="ㅁ1" localSheetId="25">'29'!$M$1048528:$M$1048576</definedName>
    <definedName name="ㅁ1" localSheetId="26">'30'!$M$1048528:$M$1048576</definedName>
    <definedName name="ㅁ1" localSheetId="27">'31'!$M$1048528:$M$1048576</definedName>
    <definedName name="ㅁ1">#REF!</definedName>
  </definedNames>
  <calcPr calcId="181029"/>
</workbook>
</file>

<file path=xl/calcChain.xml><?xml version="1.0" encoding="utf-8"?>
<calcChain xmlns="http://schemas.openxmlformats.org/spreadsheetml/2006/main">
  <c r="AF25" i="16" l="1"/>
  <c r="AF24" i="16"/>
  <c r="AF23" i="16"/>
  <c r="AF22" i="16"/>
  <c r="AF21" i="16"/>
  <c r="AF20" i="16"/>
  <c r="AF19" i="16"/>
  <c r="AF18" i="16"/>
  <c r="AF17" i="16"/>
  <c r="AF16" i="16"/>
  <c r="AF15" i="16"/>
  <c r="AF14" i="16"/>
  <c r="AF13" i="16"/>
  <c r="AF12" i="16"/>
  <c r="AF11" i="16"/>
  <c r="AF10" i="16"/>
  <c r="AF9" i="16"/>
  <c r="AF8" i="16"/>
  <c r="AF7" i="16"/>
  <c r="AF6" i="16"/>
  <c r="AF5" i="16"/>
  <c r="AF4" i="16"/>
  <c r="AF3" i="16"/>
  <c r="L21" i="2027"/>
  <c r="L20" i="2027"/>
  <c r="L19" i="2027"/>
  <c r="L18" i="2027"/>
  <c r="K18" i="2027"/>
  <c r="L17" i="2027"/>
  <c r="L16" i="2027"/>
  <c r="K16" i="2027"/>
  <c r="L13" i="2027"/>
  <c r="K13" i="2027" s="1"/>
  <c r="L12" i="2027"/>
  <c r="AB12" i="2027" s="1"/>
  <c r="L9" i="2027"/>
  <c r="AB9" i="2027" s="1"/>
  <c r="L8" i="2027"/>
  <c r="P8" i="2027" s="1"/>
  <c r="AC8" i="2027" s="1"/>
  <c r="L7" i="2027"/>
  <c r="K7" i="2027" s="1"/>
  <c r="K20" i="2027"/>
  <c r="K19" i="2027"/>
  <c r="K12" i="2027"/>
  <c r="K9" i="2027"/>
  <c r="A83" i="2027"/>
  <c r="A84" i="2027" s="1"/>
  <c r="A85" i="2027" s="1"/>
  <c r="A86" i="2027" s="1"/>
  <c r="A87" i="2027" s="1"/>
  <c r="A88" i="2027" s="1"/>
  <c r="AF69" i="2027"/>
  <c r="AF67" i="2027"/>
  <c r="AF66" i="2027"/>
  <c r="AA28" i="2027"/>
  <c r="Z28" i="2027"/>
  <c r="Y28" i="2027"/>
  <c r="X28" i="2027"/>
  <c r="W28" i="2027"/>
  <c r="V28" i="2027"/>
  <c r="U28" i="2027"/>
  <c r="T28" i="2027"/>
  <c r="S28" i="2027"/>
  <c r="R28" i="2027"/>
  <c r="N28" i="2027"/>
  <c r="J28" i="2027"/>
  <c r="I28" i="2027"/>
  <c r="AF27" i="2027"/>
  <c r="AC27" i="2027"/>
  <c r="AD27" i="2027" s="1"/>
  <c r="AB27" i="2027"/>
  <c r="Q27" i="2027"/>
  <c r="P27" i="2027"/>
  <c r="O27" i="2027"/>
  <c r="M27" i="2027"/>
  <c r="K27" i="2027"/>
  <c r="AF26" i="2027"/>
  <c r="AB26" i="2027"/>
  <c r="Q26" i="2027"/>
  <c r="P26" i="2027"/>
  <c r="AC26" i="2027" s="1"/>
  <c r="AD26" i="2027" s="1"/>
  <c r="O26" i="2027"/>
  <c r="M26" i="2027"/>
  <c r="K26" i="2027"/>
  <c r="AF25" i="2027"/>
  <c r="AC25" i="2027"/>
  <c r="AD25" i="2027" s="1"/>
  <c r="AB25" i="2027"/>
  <c r="Q25" i="2027"/>
  <c r="P25" i="2027"/>
  <c r="O25" i="2027"/>
  <c r="M25" i="2027"/>
  <c r="K25" i="2027"/>
  <c r="AF24" i="2027"/>
  <c r="AB24" i="2027"/>
  <c r="Q24" i="2027"/>
  <c r="P24" i="2027"/>
  <c r="AC24" i="2027" s="1"/>
  <c r="AD24" i="2027" s="1"/>
  <c r="O24" i="2027"/>
  <c r="M24" i="2027"/>
  <c r="K24" i="2027"/>
  <c r="AF23" i="2027"/>
  <c r="AC23" i="2027"/>
  <c r="AD23" i="2027" s="1"/>
  <c r="AB23" i="2027"/>
  <c r="Q23" i="2027"/>
  <c r="P23" i="2027"/>
  <c r="O23" i="2027"/>
  <c r="M23" i="2027"/>
  <c r="K23" i="2027"/>
  <c r="AF22" i="2027"/>
  <c r="AB22" i="2027"/>
  <c r="Q22" i="2027"/>
  <c r="P22" i="2027"/>
  <c r="AC22" i="2027" s="1"/>
  <c r="AD22" i="2027" s="1"/>
  <c r="O22" i="2027"/>
  <c r="M22" i="2027"/>
  <c r="K22" i="2027"/>
  <c r="AF21" i="2027"/>
  <c r="AB21" i="2027"/>
  <c r="Q21" i="2027"/>
  <c r="P21" i="2027"/>
  <c r="AC21" i="2027" s="1"/>
  <c r="O21" i="2027"/>
  <c r="M21" i="2027"/>
  <c r="K21" i="2027"/>
  <c r="AF20" i="2027"/>
  <c r="Q20" i="2027"/>
  <c r="O20" i="2027"/>
  <c r="AF19" i="2027"/>
  <c r="AB19" i="2027"/>
  <c r="Q19" i="2027"/>
  <c r="O19" i="2027"/>
  <c r="M19" i="2027"/>
  <c r="AF18" i="2027"/>
  <c r="AB18" i="2027"/>
  <c r="Q18" i="2027"/>
  <c r="P18" i="2027"/>
  <c r="AC18" i="2027" s="1"/>
  <c r="O18" i="2027"/>
  <c r="M18" i="2027"/>
  <c r="AF17" i="2027"/>
  <c r="Q17" i="2027"/>
  <c r="AF16" i="2027"/>
  <c r="Q16" i="2027"/>
  <c r="O16" i="2027"/>
  <c r="P16" i="2027"/>
  <c r="AC16" i="2027" s="1"/>
  <c r="AF15" i="2027"/>
  <c r="AB15" i="2027"/>
  <c r="Q15" i="2027"/>
  <c r="P15" i="2027"/>
  <c r="AC15" i="2027" s="1"/>
  <c r="O15" i="2027"/>
  <c r="M15" i="2027"/>
  <c r="K15" i="2027"/>
  <c r="AF14" i="2027"/>
  <c r="AB14" i="2027"/>
  <c r="Q14" i="2027"/>
  <c r="P14" i="2027"/>
  <c r="AC14" i="2027" s="1"/>
  <c r="O14" i="2027"/>
  <c r="M14" i="2027"/>
  <c r="K14" i="2027"/>
  <c r="AF13" i="2027"/>
  <c r="Q13" i="2027"/>
  <c r="O13" i="2027"/>
  <c r="AF12" i="2027"/>
  <c r="Q12" i="2027"/>
  <c r="P12" i="2027" s="1"/>
  <c r="AC12" i="2027" s="1"/>
  <c r="O12" i="2027"/>
  <c r="AF11" i="2027"/>
  <c r="AB11" i="2027"/>
  <c r="Q11" i="2027"/>
  <c r="P11" i="2027"/>
  <c r="AC11" i="2027" s="1"/>
  <c r="O11" i="2027"/>
  <c r="M11" i="2027"/>
  <c r="K11" i="2027"/>
  <c r="AF10" i="2027"/>
  <c r="AB10" i="2027"/>
  <c r="Q10" i="2027"/>
  <c r="P10" i="2027"/>
  <c r="AC10" i="2027" s="1"/>
  <c r="O10" i="2027"/>
  <c r="M10" i="2027"/>
  <c r="K10" i="2027"/>
  <c r="AF9" i="2027"/>
  <c r="Q9" i="2027"/>
  <c r="O9" i="2027"/>
  <c r="AF8" i="2027"/>
  <c r="Q8" i="2027"/>
  <c r="O8" i="2027"/>
  <c r="M8" i="2027"/>
  <c r="K8" i="2027"/>
  <c r="AF7" i="2027"/>
  <c r="Q7" i="2027"/>
  <c r="P7" i="2027" s="1"/>
  <c r="AC7" i="2027" s="1"/>
  <c r="AF6" i="2027"/>
  <c r="AB6" i="2027"/>
  <c r="Q6" i="2027"/>
  <c r="P6" i="2027"/>
  <c r="AC6" i="2027" s="1"/>
  <c r="O6" i="2027"/>
  <c r="M6" i="2027"/>
  <c r="K6" i="2027"/>
  <c r="AE25" i="16"/>
  <c r="AE24" i="16"/>
  <c r="AE23" i="16"/>
  <c r="AE22" i="16"/>
  <c r="AE21" i="16"/>
  <c r="AE20" i="16"/>
  <c r="AE19" i="16"/>
  <c r="AE18" i="16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L20" i="2026"/>
  <c r="L17" i="2026"/>
  <c r="K17" i="2026" s="1"/>
  <c r="L16" i="2026"/>
  <c r="K16" i="2026" s="1"/>
  <c r="L9" i="2026"/>
  <c r="L7" i="2026"/>
  <c r="K20" i="2026"/>
  <c r="K19" i="2026"/>
  <c r="K18" i="2026"/>
  <c r="K13" i="2026"/>
  <c r="K12" i="2026"/>
  <c r="K11" i="2026"/>
  <c r="K10" i="2026"/>
  <c r="K9" i="2026"/>
  <c r="K8" i="2026"/>
  <c r="K7" i="2026"/>
  <c r="K6" i="2026"/>
  <c r="A83" i="2026"/>
  <c r="A84" i="2026" s="1"/>
  <c r="A85" i="2026" s="1"/>
  <c r="A86" i="2026" s="1"/>
  <c r="A87" i="2026" s="1"/>
  <c r="A88" i="2026" s="1"/>
  <c r="AF67" i="2026"/>
  <c r="AF69" i="2026" s="1"/>
  <c r="AF66" i="2026"/>
  <c r="AA28" i="2026"/>
  <c r="Z28" i="2026"/>
  <c r="Y28" i="2026"/>
  <c r="X28" i="2026"/>
  <c r="W28" i="2026"/>
  <c r="V28" i="2026"/>
  <c r="U28" i="2026"/>
  <c r="T28" i="2026"/>
  <c r="S28" i="2026"/>
  <c r="R28" i="2026"/>
  <c r="N28" i="2026"/>
  <c r="J28" i="2026"/>
  <c r="I28" i="2026"/>
  <c r="AF27" i="2026"/>
  <c r="AB27" i="2026"/>
  <c r="Q27" i="2026"/>
  <c r="P27" i="2026"/>
  <c r="AC27" i="2026" s="1"/>
  <c r="AD27" i="2026" s="1"/>
  <c r="O27" i="2026"/>
  <c r="M27" i="2026"/>
  <c r="K27" i="2026"/>
  <c r="AF26" i="2026"/>
  <c r="AB26" i="2026"/>
  <c r="Q26" i="2026"/>
  <c r="P26" i="2026"/>
  <c r="AC26" i="2026" s="1"/>
  <c r="AD26" i="2026" s="1"/>
  <c r="O26" i="2026"/>
  <c r="M26" i="2026"/>
  <c r="K26" i="2026"/>
  <c r="AF25" i="2026"/>
  <c r="AB25" i="2026"/>
  <c r="Q25" i="2026"/>
  <c r="P25" i="2026"/>
  <c r="AC25" i="2026" s="1"/>
  <c r="AD25" i="2026" s="1"/>
  <c r="O25" i="2026"/>
  <c r="M25" i="2026"/>
  <c r="K25" i="2026"/>
  <c r="AF24" i="2026"/>
  <c r="AB24" i="2026"/>
  <c r="Q24" i="2026"/>
  <c r="P24" i="2026"/>
  <c r="AC24" i="2026" s="1"/>
  <c r="AD24" i="2026" s="1"/>
  <c r="O24" i="2026"/>
  <c r="M24" i="2026"/>
  <c r="K24" i="2026"/>
  <c r="AF23" i="2026"/>
  <c r="AC23" i="2026"/>
  <c r="AD23" i="2026" s="1"/>
  <c r="AB23" i="2026"/>
  <c r="Q23" i="2026"/>
  <c r="P23" i="2026"/>
  <c r="O23" i="2026"/>
  <c r="M23" i="2026"/>
  <c r="K23" i="2026"/>
  <c r="AF22" i="2026"/>
  <c r="AB22" i="2026"/>
  <c r="Q22" i="2026"/>
  <c r="P22" i="2026"/>
  <c r="AC22" i="2026" s="1"/>
  <c r="AD22" i="2026" s="1"/>
  <c r="O22" i="2026"/>
  <c r="M22" i="2026"/>
  <c r="K22" i="2026"/>
  <c r="AF21" i="2026"/>
  <c r="AC21" i="2026"/>
  <c r="AD21" i="2026" s="1"/>
  <c r="AB21" i="2026"/>
  <c r="Q21" i="2026"/>
  <c r="P21" i="2026"/>
  <c r="O21" i="2026"/>
  <c r="M21" i="2026"/>
  <c r="K21" i="2026"/>
  <c r="AF20" i="2026"/>
  <c r="Q20" i="2026"/>
  <c r="P20" i="2026" s="1"/>
  <c r="AC20" i="2026" s="1"/>
  <c r="O20" i="2026"/>
  <c r="AF19" i="2026"/>
  <c r="Q19" i="2026"/>
  <c r="P19" i="2026"/>
  <c r="AC19" i="2026" s="1"/>
  <c r="O19" i="2026"/>
  <c r="AB19" i="2026"/>
  <c r="AF18" i="2026"/>
  <c r="AB18" i="2026"/>
  <c r="Q18" i="2026"/>
  <c r="O18" i="2026"/>
  <c r="M18" i="2026"/>
  <c r="P18" i="2026"/>
  <c r="AC18" i="2026" s="1"/>
  <c r="AD18" i="2026" s="1"/>
  <c r="AF17" i="2026"/>
  <c r="Q17" i="2026"/>
  <c r="P17" i="2026"/>
  <c r="AC17" i="2026" s="1"/>
  <c r="AF16" i="2026"/>
  <c r="Q16" i="2026"/>
  <c r="P16" i="2026"/>
  <c r="AC16" i="2026" s="1"/>
  <c r="O16" i="2026"/>
  <c r="AF15" i="2026"/>
  <c r="AB15" i="2026"/>
  <c r="Q15" i="2026"/>
  <c r="P15" i="2026"/>
  <c r="AC15" i="2026" s="1"/>
  <c r="AD15" i="2026" s="1"/>
  <c r="O15" i="2026"/>
  <c r="M15" i="2026"/>
  <c r="K15" i="2026"/>
  <c r="AF14" i="2026"/>
  <c r="AB14" i="2026"/>
  <c r="Q14" i="2026"/>
  <c r="P14" i="2026"/>
  <c r="AC14" i="2026" s="1"/>
  <c r="O14" i="2026"/>
  <c r="M14" i="2026"/>
  <c r="K14" i="2026"/>
  <c r="AF13" i="2026"/>
  <c r="AB13" i="2026"/>
  <c r="Q13" i="2026"/>
  <c r="P13" i="2026"/>
  <c r="AC13" i="2026" s="1"/>
  <c r="AD13" i="2026" s="1"/>
  <c r="O13" i="2026"/>
  <c r="M13" i="2026"/>
  <c r="AF12" i="2026"/>
  <c r="AB12" i="2026"/>
  <c r="Q12" i="2026"/>
  <c r="P12" i="2026" s="1"/>
  <c r="AC12" i="2026" s="1"/>
  <c r="O12" i="2026"/>
  <c r="M12" i="2026"/>
  <c r="AF11" i="2026"/>
  <c r="Q11" i="2026"/>
  <c r="P11" i="2026"/>
  <c r="AC11" i="2026" s="1"/>
  <c r="O11" i="2026"/>
  <c r="AF10" i="2026"/>
  <c r="AB10" i="2026"/>
  <c r="Q10" i="2026"/>
  <c r="P10" i="2026"/>
  <c r="AC10" i="2026" s="1"/>
  <c r="O10" i="2026"/>
  <c r="M10" i="2026"/>
  <c r="AF9" i="2026"/>
  <c r="AB9" i="2026"/>
  <c r="Q9" i="2026"/>
  <c r="P9" i="2026" s="1"/>
  <c r="AC9" i="2026" s="1"/>
  <c r="AD9" i="2026" s="1"/>
  <c r="O9" i="2026"/>
  <c r="M9" i="2026"/>
  <c r="AF8" i="2026"/>
  <c r="Q8" i="2026"/>
  <c r="P8" i="2026"/>
  <c r="AC8" i="2026" s="1"/>
  <c r="AF7" i="2026"/>
  <c r="Q7" i="2026"/>
  <c r="P7" i="2026" s="1"/>
  <c r="AC7" i="2026" s="1"/>
  <c r="O7" i="2026"/>
  <c r="AF6" i="2026"/>
  <c r="AB6" i="2026"/>
  <c r="Q6" i="2026"/>
  <c r="P6" i="2026"/>
  <c r="AC6" i="2026" s="1"/>
  <c r="AD6" i="2026" s="1"/>
  <c r="O6" i="2026"/>
  <c r="M6" i="2026"/>
  <c r="AD25" i="16"/>
  <c r="AD24" i="16"/>
  <c r="AD23" i="16"/>
  <c r="AD22" i="16"/>
  <c r="AD21" i="16"/>
  <c r="AD20" i="16"/>
  <c r="AD19" i="16"/>
  <c r="AD18" i="16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L20" i="2025"/>
  <c r="L19" i="2025"/>
  <c r="K19" i="2025" s="1"/>
  <c r="L18" i="2025"/>
  <c r="M18" i="2025" s="1"/>
  <c r="L17" i="2025"/>
  <c r="M17" i="2025" s="1"/>
  <c r="L16" i="2025"/>
  <c r="L13" i="2025"/>
  <c r="L11" i="2025"/>
  <c r="K11" i="2025" s="1"/>
  <c r="L10" i="2025"/>
  <c r="K10" i="2025" s="1"/>
  <c r="L9" i="2025"/>
  <c r="K9" i="2025" s="1"/>
  <c r="L8" i="2025"/>
  <c r="L7" i="2025"/>
  <c r="K7" i="2025" s="1"/>
  <c r="K21" i="2025"/>
  <c r="K20" i="2025"/>
  <c r="K18" i="2025"/>
  <c r="K17" i="2025"/>
  <c r="K16" i="2025"/>
  <c r="K15" i="2025"/>
  <c r="K13" i="2025"/>
  <c r="K12" i="2025"/>
  <c r="K6" i="2025"/>
  <c r="A83" i="2025"/>
  <c r="A84" i="2025" s="1"/>
  <c r="A85" i="2025" s="1"/>
  <c r="A86" i="2025" s="1"/>
  <c r="A87" i="2025" s="1"/>
  <c r="A88" i="2025" s="1"/>
  <c r="AF67" i="2025"/>
  <c r="AF66" i="2025"/>
  <c r="AF69" i="2025" s="1"/>
  <c r="AA28" i="2025"/>
  <c r="Z28" i="2025"/>
  <c r="Y28" i="2025"/>
  <c r="X28" i="2025"/>
  <c r="W28" i="2025"/>
  <c r="V28" i="2025"/>
  <c r="U28" i="2025"/>
  <c r="T28" i="2025"/>
  <c r="S28" i="2025"/>
  <c r="R28" i="2025"/>
  <c r="N28" i="2025"/>
  <c r="J28" i="2025"/>
  <c r="I28" i="2025"/>
  <c r="AF27" i="2025"/>
  <c r="AB27" i="2025"/>
  <c r="Q27" i="2025"/>
  <c r="P27" i="2025"/>
  <c r="AC27" i="2025" s="1"/>
  <c r="AD27" i="2025" s="1"/>
  <c r="O27" i="2025"/>
  <c r="M27" i="2025"/>
  <c r="K27" i="2025"/>
  <c r="AF26" i="2025"/>
  <c r="AB26" i="2025"/>
  <c r="Q26" i="2025"/>
  <c r="P26" i="2025"/>
  <c r="AC26" i="2025" s="1"/>
  <c r="O26" i="2025"/>
  <c r="M26" i="2025"/>
  <c r="K26" i="2025"/>
  <c r="AF25" i="2025"/>
  <c r="AB25" i="2025"/>
  <c r="Q25" i="2025"/>
  <c r="P25" i="2025"/>
  <c r="AC25" i="2025" s="1"/>
  <c r="O25" i="2025"/>
  <c r="M25" i="2025"/>
  <c r="K25" i="2025"/>
  <c r="AF24" i="2025"/>
  <c r="AB24" i="2025"/>
  <c r="Q24" i="2025"/>
  <c r="P24" i="2025"/>
  <c r="AC24" i="2025" s="1"/>
  <c r="O24" i="2025"/>
  <c r="M24" i="2025"/>
  <c r="K24" i="2025"/>
  <c r="AF23" i="2025"/>
  <c r="AB23" i="2025"/>
  <c r="Q23" i="2025"/>
  <c r="P23" i="2025"/>
  <c r="AC23" i="2025" s="1"/>
  <c r="AD23" i="2025" s="1"/>
  <c r="O23" i="2025"/>
  <c r="M23" i="2025"/>
  <c r="K23" i="2025"/>
  <c r="AF22" i="2025"/>
  <c r="AB22" i="2025"/>
  <c r="Q22" i="2025"/>
  <c r="P22" i="2025"/>
  <c r="AC22" i="2025" s="1"/>
  <c r="O22" i="2025"/>
  <c r="M22" i="2025"/>
  <c r="K22" i="2025"/>
  <c r="AF21" i="2025"/>
  <c r="AB21" i="2025"/>
  <c r="Q21" i="2025"/>
  <c r="M21" i="2025"/>
  <c r="P21" i="2025"/>
  <c r="AC21" i="2025" s="1"/>
  <c r="AF20" i="2025"/>
  <c r="Q20" i="2025"/>
  <c r="P20" i="2025" s="1"/>
  <c r="AC20" i="2025" s="1"/>
  <c r="AF19" i="2025"/>
  <c r="Q19" i="2025"/>
  <c r="AF18" i="2025"/>
  <c r="Q18" i="2025"/>
  <c r="O18" i="2025"/>
  <c r="AF17" i="2025"/>
  <c r="AB17" i="2025"/>
  <c r="Q17" i="2025"/>
  <c r="AF16" i="2025"/>
  <c r="Q16" i="2025"/>
  <c r="P16" i="2025"/>
  <c r="AC16" i="2025" s="1"/>
  <c r="AF15" i="2025"/>
  <c r="AB15" i="2025"/>
  <c r="Q15" i="2025"/>
  <c r="P15" i="2025"/>
  <c r="AC15" i="2025" s="1"/>
  <c r="O15" i="2025"/>
  <c r="M15" i="2025"/>
  <c r="AF14" i="2025"/>
  <c r="AB14" i="2025"/>
  <c r="Q14" i="2025"/>
  <c r="P14" i="2025"/>
  <c r="AC14" i="2025" s="1"/>
  <c r="O14" i="2025"/>
  <c r="M14" i="2025"/>
  <c r="K14" i="2025"/>
  <c r="AF13" i="2025"/>
  <c r="Q13" i="2025"/>
  <c r="P13" i="2025" s="1"/>
  <c r="AC13" i="2025" s="1"/>
  <c r="AF12" i="2025"/>
  <c r="AB12" i="2025"/>
  <c r="Q12" i="2025"/>
  <c r="P12" i="2025" s="1"/>
  <c r="AC12" i="2025" s="1"/>
  <c r="O12" i="2025"/>
  <c r="M12" i="2025"/>
  <c r="AF11" i="2025"/>
  <c r="Q11" i="2025"/>
  <c r="P11" i="2025" s="1"/>
  <c r="AC11" i="2025" s="1"/>
  <c r="AF10" i="2025"/>
  <c r="AB10" i="2025"/>
  <c r="Q10" i="2025"/>
  <c r="M10" i="2025"/>
  <c r="AF9" i="2025"/>
  <c r="Q9" i="2025"/>
  <c r="M9" i="2025"/>
  <c r="AF8" i="2025"/>
  <c r="Q8" i="2025"/>
  <c r="M8" i="2025"/>
  <c r="AF7" i="2025"/>
  <c r="Q7" i="2025"/>
  <c r="P7" i="2025"/>
  <c r="AC7" i="2025" s="1"/>
  <c r="AF6" i="2025"/>
  <c r="AB6" i="2025"/>
  <c r="Q6" i="2025"/>
  <c r="P6" i="2025"/>
  <c r="AC6" i="2025" s="1"/>
  <c r="O6" i="2025"/>
  <c r="M6" i="2025"/>
  <c r="AC25" i="16"/>
  <c r="AC24" i="16"/>
  <c r="AC23" i="16"/>
  <c r="AC22" i="16"/>
  <c r="AC21" i="16"/>
  <c r="AC20" i="16"/>
  <c r="AC19" i="16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L22" i="2024"/>
  <c r="AB22" i="2024" s="1"/>
  <c r="L21" i="2024"/>
  <c r="L20" i="2024"/>
  <c r="O20" i="2024" s="1"/>
  <c r="K20" i="2024"/>
  <c r="L19" i="2024"/>
  <c r="K19" i="2024" s="1"/>
  <c r="L18" i="2024"/>
  <c r="L17" i="2024"/>
  <c r="P17" i="2024" s="1"/>
  <c r="AC17" i="2024" s="1"/>
  <c r="L16" i="2024"/>
  <c r="L14" i="2024"/>
  <c r="K14" i="2024"/>
  <c r="L13" i="2024"/>
  <c r="AB13" i="2024" s="1"/>
  <c r="K13" i="2024"/>
  <c r="AF13" i="2024"/>
  <c r="Q13" i="2024"/>
  <c r="P13" i="2024" s="1"/>
  <c r="AC13" i="2024" s="1"/>
  <c r="O13" i="2024"/>
  <c r="M13" i="2024"/>
  <c r="L11" i="2024"/>
  <c r="M11" i="2024" s="1"/>
  <c r="K11" i="2024"/>
  <c r="L10" i="2024"/>
  <c r="K10" i="2024" s="1"/>
  <c r="L9" i="2024"/>
  <c r="K9" i="2024" s="1"/>
  <c r="L8" i="2024"/>
  <c r="K8" i="2024" s="1"/>
  <c r="L7" i="2024"/>
  <c r="K7" i="2024" s="1"/>
  <c r="L6" i="2024"/>
  <c r="K6" i="2024"/>
  <c r="K22" i="2024"/>
  <c r="K21" i="2024"/>
  <c r="K18" i="2024"/>
  <c r="K17" i="2024"/>
  <c r="K16" i="2024"/>
  <c r="K12" i="2024"/>
  <c r="A86" i="2024"/>
  <c r="A87" i="2024" s="1"/>
  <c r="A88" i="2024" s="1"/>
  <c r="A89" i="2024" s="1"/>
  <c r="A85" i="2024"/>
  <c r="A84" i="2024"/>
  <c r="AF68" i="2024"/>
  <c r="AF67" i="2024"/>
  <c r="AF70" i="2024" s="1"/>
  <c r="AA29" i="2024"/>
  <c r="Z29" i="2024"/>
  <c r="Y29" i="2024"/>
  <c r="X29" i="2024"/>
  <c r="W29" i="2024"/>
  <c r="V29" i="2024"/>
  <c r="U29" i="2024"/>
  <c r="T29" i="2024"/>
  <c r="S29" i="2024"/>
  <c r="R29" i="2024"/>
  <c r="N29" i="2024"/>
  <c r="J29" i="2024"/>
  <c r="I29" i="2024"/>
  <c r="AF28" i="2024"/>
  <c r="AB28" i="2024"/>
  <c r="Q28" i="2024"/>
  <c r="P28" i="2024"/>
  <c r="AC28" i="2024" s="1"/>
  <c r="AD28" i="2024" s="1"/>
  <c r="O28" i="2024"/>
  <c r="M28" i="2024"/>
  <c r="K28" i="2024"/>
  <c r="AF27" i="2024"/>
  <c r="AB27" i="2024"/>
  <c r="Q27" i="2024"/>
  <c r="P27" i="2024"/>
  <c r="AC27" i="2024" s="1"/>
  <c r="AD27" i="2024" s="1"/>
  <c r="O27" i="2024"/>
  <c r="M27" i="2024"/>
  <c r="K27" i="2024"/>
  <c r="AF26" i="2024"/>
  <c r="AB26" i="2024"/>
  <c r="Q26" i="2024"/>
  <c r="P26" i="2024"/>
  <c r="AC26" i="2024" s="1"/>
  <c r="O26" i="2024"/>
  <c r="M26" i="2024"/>
  <c r="K26" i="2024"/>
  <c r="AF25" i="2024"/>
  <c r="AB25" i="2024"/>
  <c r="Q25" i="2024"/>
  <c r="P25" i="2024"/>
  <c r="AC25" i="2024" s="1"/>
  <c r="O25" i="2024"/>
  <c r="M25" i="2024"/>
  <c r="K25" i="2024"/>
  <c r="AF24" i="2024"/>
  <c r="AB24" i="2024"/>
  <c r="Q24" i="2024"/>
  <c r="P24" i="2024"/>
  <c r="AC24" i="2024" s="1"/>
  <c r="AD24" i="2024" s="1"/>
  <c r="O24" i="2024"/>
  <c r="M24" i="2024"/>
  <c r="K24" i="2024"/>
  <c r="AF23" i="2024"/>
  <c r="AB23" i="2024"/>
  <c r="Q23" i="2024"/>
  <c r="P23" i="2024"/>
  <c r="AC23" i="2024" s="1"/>
  <c r="O23" i="2024"/>
  <c r="M23" i="2024"/>
  <c r="K23" i="2024"/>
  <c r="AF22" i="2024"/>
  <c r="Q22" i="2024"/>
  <c r="M22" i="2024"/>
  <c r="P22" i="2024"/>
  <c r="AC22" i="2024" s="1"/>
  <c r="AF21" i="2024"/>
  <c r="Q21" i="2024"/>
  <c r="P21" i="2024"/>
  <c r="AC21" i="2024" s="1"/>
  <c r="AF20" i="2024"/>
  <c r="Q20" i="2024"/>
  <c r="P20" i="2024"/>
  <c r="AC20" i="2024" s="1"/>
  <c r="AB20" i="2024"/>
  <c r="AF19" i="2024"/>
  <c r="Q19" i="2024"/>
  <c r="P19" i="2024" s="1"/>
  <c r="AC19" i="2024" s="1"/>
  <c r="AF18" i="2024"/>
  <c r="Q18" i="2024"/>
  <c r="P18" i="2024"/>
  <c r="AC18" i="2024" s="1"/>
  <c r="AF17" i="2024"/>
  <c r="AB17" i="2024"/>
  <c r="Q17" i="2024"/>
  <c r="O17" i="2024"/>
  <c r="M17" i="2024"/>
  <c r="AF16" i="2024"/>
  <c r="AB16" i="2024"/>
  <c r="Q16" i="2024"/>
  <c r="O16" i="2024"/>
  <c r="M16" i="2024"/>
  <c r="P16" i="2024"/>
  <c r="AC16" i="2024" s="1"/>
  <c r="AF15" i="2024"/>
  <c r="AB15" i="2024"/>
  <c r="Q15" i="2024"/>
  <c r="P15" i="2024"/>
  <c r="AC15" i="2024" s="1"/>
  <c r="O15" i="2024"/>
  <c r="M15" i="2024"/>
  <c r="K15" i="2024"/>
  <c r="AF14" i="2024"/>
  <c r="AB14" i="2024"/>
  <c r="Q14" i="2024"/>
  <c r="P14" i="2024" s="1"/>
  <c r="AC14" i="2024" s="1"/>
  <c r="O14" i="2024"/>
  <c r="M14" i="2024"/>
  <c r="AF12" i="2024"/>
  <c r="AB12" i="2024"/>
  <c r="Q12" i="2024"/>
  <c r="P12" i="2024" s="1"/>
  <c r="AC12" i="2024" s="1"/>
  <c r="O12" i="2024"/>
  <c r="M12" i="2024"/>
  <c r="AF11" i="2024"/>
  <c r="AB11" i="2024"/>
  <c r="Q11" i="2024"/>
  <c r="P11" i="2024" s="1"/>
  <c r="AC11" i="2024" s="1"/>
  <c r="AF10" i="2024"/>
  <c r="Q10" i="2024"/>
  <c r="AF9" i="2024"/>
  <c r="AB9" i="2024"/>
  <c r="Q9" i="2024"/>
  <c r="P9" i="2024"/>
  <c r="AC9" i="2024" s="1"/>
  <c r="M9" i="2024"/>
  <c r="AF8" i="2024"/>
  <c r="Q8" i="2024"/>
  <c r="O8" i="2024"/>
  <c r="AF7" i="2024"/>
  <c r="AB7" i="2024"/>
  <c r="Q7" i="2024"/>
  <c r="M7" i="2024"/>
  <c r="AF6" i="2024"/>
  <c r="AB6" i="2024"/>
  <c r="Q6" i="2024"/>
  <c r="O6" i="2024"/>
  <c r="M6" i="2024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AA25" i="16"/>
  <c r="AA24" i="16"/>
  <c r="AA23" i="16"/>
  <c r="AA22" i="16"/>
  <c r="AA21" i="16"/>
  <c r="AA20" i="16"/>
  <c r="AA19" i="16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" i="16"/>
  <c r="L21" i="2023"/>
  <c r="K21" i="2023" s="1"/>
  <c r="L20" i="2023"/>
  <c r="K20" i="2023" s="1"/>
  <c r="L19" i="2023"/>
  <c r="K19" i="2023" s="1"/>
  <c r="L17" i="2023"/>
  <c r="K17" i="2023" s="1"/>
  <c r="L16" i="2023"/>
  <c r="L15" i="2023"/>
  <c r="K15" i="2023" s="1"/>
  <c r="L13" i="2023"/>
  <c r="K13" i="2023" s="1"/>
  <c r="L12" i="2023"/>
  <c r="K12" i="2023" s="1"/>
  <c r="L11" i="2023"/>
  <c r="K11" i="2023" s="1"/>
  <c r="L10" i="2023"/>
  <c r="K10" i="2023" s="1"/>
  <c r="L9" i="2023"/>
  <c r="K9" i="2023" s="1"/>
  <c r="L8" i="2023"/>
  <c r="K8" i="2023" s="1"/>
  <c r="L7" i="2023"/>
  <c r="K7" i="2023" s="1"/>
  <c r="K18" i="2023"/>
  <c r="K16" i="2023"/>
  <c r="A83" i="2023"/>
  <c r="A84" i="2023" s="1"/>
  <c r="A85" i="2023" s="1"/>
  <c r="A86" i="2023" s="1"/>
  <c r="A87" i="2023" s="1"/>
  <c r="A88" i="2023" s="1"/>
  <c r="AF67" i="2023"/>
  <c r="AF66" i="2023"/>
  <c r="AF69" i="2023" s="1"/>
  <c r="AA28" i="2023"/>
  <c r="Z28" i="2023"/>
  <c r="Y28" i="2023"/>
  <c r="X28" i="2023"/>
  <c r="W28" i="2023"/>
  <c r="V28" i="2023"/>
  <c r="U28" i="2023"/>
  <c r="T28" i="2023"/>
  <c r="S28" i="2023"/>
  <c r="R28" i="2023"/>
  <c r="N28" i="2023"/>
  <c r="J28" i="2023"/>
  <c r="I28" i="2023"/>
  <c r="AF27" i="2023"/>
  <c r="AB27" i="2023"/>
  <c r="Q27" i="2023"/>
  <c r="P27" i="2023"/>
  <c r="AC27" i="2023" s="1"/>
  <c r="AD27" i="2023" s="1"/>
  <c r="O27" i="2023"/>
  <c r="M27" i="2023"/>
  <c r="K27" i="2023"/>
  <c r="AF26" i="2023"/>
  <c r="AB26" i="2023"/>
  <c r="Q26" i="2023"/>
  <c r="P26" i="2023"/>
  <c r="AC26" i="2023" s="1"/>
  <c r="AD26" i="2023" s="1"/>
  <c r="O26" i="2023"/>
  <c r="M26" i="2023"/>
  <c r="K26" i="2023"/>
  <c r="AF25" i="2023"/>
  <c r="AB25" i="2023"/>
  <c r="Q25" i="2023"/>
  <c r="P25" i="2023"/>
  <c r="AC25" i="2023" s="1"/>
  <c r="O25" i="2023"/>
  <c r="M25" i="2023"/>
  <c r="K25" i="2023"/>
  <c r="AF24" i="2023"/>
  <c r="AB24" i="2023"/>
  <c r="Q24" i="2023"/>
  <c r="P24" i="2023"/>
  <c r="AC24" i="2023" s="1"/>
  <c r="O24" i="2023"/>
  <c r="M24" i="2023"/>
  <c r="K24" i="2023"/>
  <c r="AF23" i="2023"/>
  <c r="AB23" i="2023"/>
  <c r="Q23" i="2023"/>
  <c r="P23" i="2023"/>
  <c r="AC23" i="2023" s="1"/>
  <c r="AD23" i="2023" s="1"/>
  <c r="O23" i="2023"/>
  <c r="M23" i="2023"/>
  <c r="K23" i="2023"/>
  <c r="AF22" i="2023"/>
  <c r="AB22" i="2023"/>
  <c r="Q22" i="2023"/>
  <c r="P22" i="2023"/>
  <c r="AC22" i="2023" s="1"/>
  <c r="AD22" i="2023" s="1"/>
  <c r="O22" i="2023"/>
  <c r="M22" i="2023"/>
  <c r="K22" i="2023"/>
  <c r="AF21" i="2023"/>
  <c r="Q21" i="2023"/>
  <c r="O21" i="2023"/>
  <c r="P21" i="2023"/>
  <c r="AC21" i="2023" s="1"/>
  <c r="AF20" i="2023"/>
  <c r="AB20" i="2023"/>
  <c r="Q20" i="2023"/>
  <c r="P20" i="2023" s="1"/>
  <c r="AC20" i="2023" s="1"/>
  <c r="M20" i="2023"/>
  <c r="AF19" i="2023"/>
  <c r="Q19" i="2023"/>
  <c r="AF18" i="2023"/>
  <c r="AB18" i="2023"/>
  <c r="Q18" i="2023"/>
  <c r="P18" i="2023"/>
  <c r="AC18" i="2023" s="1"/>
  <c r="M18" i="2023"/>
  <c r="O18" i="2023"/>
  <c r="AF17" i="2023"/>
  <c r="Q17" i="2023"/>
  <c r="P17" i="2023"/>
  <c r="AC17" i="2023" s="1"/>
  <c r="AF16" i="2023"/>
  <c r="AB16" i="2023"/>
  <c r="Q16" i="2023"/>
  <c r="P16" i="2023"/>
  <c r="AC16" i="2023" s="1"/>
  <c r="O16" i="2023"/>
  <c r="M16" i="2023"/>
  <c r="AF15" i="2023"/>
  <c r="Q15" i="2023"/>
  <c r="P15" i="2023" s="1"/>
  <c r="AC15" i="2023" s="1"/>
  <c r="O15" i="2023"/>
  <c r="AF14" i="2023"/>
  <c r="AB14" i="2023"/>
  <c r="Q14" i="2023"/>
  <c r="P14" i="2023"/>
  <c r="AC14" i="2023" s="1"/>
  <c r="O14" i="2023"/>
  <c r="M14" i="2023"/>
  <c r="K14" i="2023"/>
  <c r="AF13" i="2023"/>
  <c r="AB13" i="2023"/>
  <c r="Q13" i="2023"/>
  <c r="P13" i="2023" s="1"/>
  <c r="AC13" i="2023" s="1"/>
  <c r="M13" i="2023"/>
  <c r="O13" i="2023"/>
  <c r="AF12" i="2023"/>
  <c r="Q12" i="2023"/>
  <c r="P12" i="2023" s="1"/>
  <c r="AC12" i="2023" s="1"/>
  <c r="O12" i="2023"/>
  <c r="AF11" i="2023"/>
  <c r="AB11" i="2023"/>
  <c r="Q11" i="2023"/>
  <c r="AF10" i="2023"/>
  <c r="AB10" i="2023"/>
  <c r="Q10" i="2023"/>
  <c r="P10" i="2023" s="1"/>
  <c r="AC10" i="2023" s="1"/>
  <c r="M10" i="2023"/>
  <c r="O10" i="2023"/>
  <c r="AF9" i="2023"/>
  <c r="Q9" i="2023"/>
  <c r="O9" i="2023"/>
  <c r="AF8" i="2023"/>
  <c r="AB8" i="2023"/>
  <c r="Q8" i="2023"/>
  <c r="P8" i="2023"/>
  <c r="AC8" i="2023" s="1"/>
  <c r="O8" i="2023"/>
  <c r="M8" i="2023"/>
  <c r="AF7" i="2023"/>
  <c r="Q7" i="2023"/>
  <c r="AB7" i="2023"/>
  <c r="AF6" i="2023"/>
  <c r="AB6" i="2023"/>
  <c r="Q6" i="2023"/>
  <c r="P6" i="2023"/>
  <c r="O6" i="2023"/>
  <c r="M6" i="2023"/>
  <c r="K6" i="2023"/>
  <c r="L22" i="2022"/>
  <c r="K22" i="2022" s="1"/>
  <c r="L21" i="2022"/>
  <c r="L20" i="2022"/>
  <c r="K20" i="2022" s="1"/>
  <c r="L19" i="2022"/>
  <c r="K19" i="2022" s="1"/>
  <c r="L18" i="2022"/>
  <c r="L17" i="2022"/>
  <c r="K17" i="2022" s="1"/>
  <c r="AF16" i="2022"/>
  <c r="AB16" i="2022"/>
  <c r="Q16" i="2022"/>
  <c r="P16" i="2022" s="1"/>
  <c r="AC16" i="2022" s="1"/>
  <c r="AD16" i="2022" s="1"/>
  <c r="O16" i="2022"/>
  <c r="M16" i="2022"/>
  <c r="K16" i="2022"/>
  <c r="L15" i="2022"/>
  <c r="K15" i="2022" s="1"/>
  <c r="L13" i="2022"/>
  <c r="K13" i="2022" s="1"/>
  <c r="L12" i="2022"/>
  <c r="K12" i="2022" s="1"/>
  <c r="L10" i="2022"/>
  <c r="K10" i="2022" s="1"/>
  <c r="L9" i="2022"/>
  <c r="K9" i="2022" s="1"/>
  <c r="L8" i="2022"/>
  <c r="K8" i="2022" s="1"/>
  <c r="L7" i="2022"/>
  <c r="K7" i="2022" s="1"/>
  <c r="K21" i="2022"/>
  <c r="K18" i="2022"/>
  <c r="A84" i="2022"/>
  <c r="A85" i="2022" s="1"/>
  <c r="A86" i="2022" s="1"/>
  <c r="A87" i="2022" s="1"/>
  <c r="A88" i="2022" s="1"/>
  <c r="A89" i="2022" s="1"/>
  <c r="AF68" i="2022"/>
  <c r="AF67" i="2022"/>
  <c r="AF70" i="2022" s="1"/>
  <c r="AA29" i="2022"/>
  <c r="Z29" i="2022"/>
  <c r="Y29" i="2022"/>
  <c r="X29" i="2022"/>
  <c r="W29" i="2022"/>
  <c r="V29" i="2022"/>
  <c r="U29" i="2022"/>
  <c r="T29" i="2022"/>
  <c r="S29" i="2022"/>
  <c r="R29" i="2022"/>
  <c r="N29" i="2022"/>
  <c r="J29" i="2022"/>
  <c r="I29" i="2022"/>
  <c r="AF28" i="2022"/>
  <c r="AB28" i="2022"/>
  <c r="Q28" i="2022"/>
  <c r="P28" i="2022"/>
  <c r="AC28" i="2022" s="1"/>
  <c r="O28" i="2022"/>
  <c r="M28" i="2022"/>
  <c r="K28" i="2022"/>
  <c r="AF27" i="2022"/>
  <c r="AB27" i="2022"/>
  <c r="Q27" i="2022"/>
  <c r="P27" i="2022"/>
  <c r="AC27" i="2022" s="1"/>
  <c r="AD27" i="2022" s="1"/>
  <c r="O27" i="2022"/>
  <c r="M27" i="2022"/>
  <c r="K27" i="2022"/>
  <c r="AF26" i="2022"/>
  <c r="AB26" i="2022"/>
  <c r="Q26" i="2022"/>
  <c r="P26" i="2022"/>
  <c r="AC26" i="2022" s="1"/>
  <c r="O26" i="2022"/>
  <c r="M26" i="2022"/>
  <c r="K26" i="2022"/>
  <c r="AF25" i="2022"/>
  <c r="AC25" i="2022"/>
  <c r="AD25" i="2022" s="1"/>
  <c r="AB25" i="2022"/>
  <c r="Q25" i="2022"/>
  <c r="P25" i="2022"/>
  <c r="O25" i="2022"/>
  <c r="M25" i="2022"/>
  <c r="K25" i="2022"/>
  <c r="AF24" i="2022"/>
  <c r="AB24" i="2022"/>
  <c r="Q24" i="2022"/>
  <c r="P24" i="2022"/>
  <c r="AC24" i="2022" s="1"/>
  <c r="AD24" i="2022" s="1"/>
  <c r="O24" i="2022"/>
  <c r="M24" i="2022"/>
  <c r="K24" i="2022"/>
  <c r="AF23" i="2022"/>
  <c r="AB23" i="2022"/>
  <c r="Q23" i="2022"/>
  <c r="P23" i="2022"/>
  <c r="AC23" i="2022" s="1"/>
  <c r="AD23" i="2022" s="1"/>
  <c r="O23" i="2022"/>
  <c r="M23" i="2022"/>
  <c r="K23" i="2022"/>
  <c r="AF22" i="2022"/>
  <c r="Q22" i="2022"/>
  <c r="P22" i="2022"/>
  <c r="AC22" i="2022" s="1"/>
  <c r="O22" i="2022"/>
  <c r="AB22" i="2022"/>
  <c r="AF21" i="2022"/>
  <c r="AB21" i="2022"/>
  <c r="Q21" i="2022"/>
  <c r="P21" i="2022"/>
  <c r="AC21" i="2022" s="1"/>
  <c r="O21" i="2022"/>
  <c r="M21" i="2022"/>
  <c r="AF20" i="2022"/>
  <c r="AB20" i="2022"/>
  <c r="Q20" i="2022"/>
  <c r="M20" i="2022"/>
  <c r="O20" i="2022"/>
  <c r="AF19" i="2022"/>
  <c r="Q19" i="2022"/>
  <c r="AF18" i="2022"/>
  <c r="Q18" i="2022"/>
  <c r="P18" i="2022"/>
  <c r="AC18" i="2022" s="1"/>
  <c r="O18" i="2022"/>
  <c r="AB18" i="2022"/>
  <c r="AF17" i="2022"/>
  <c r="AB17" i="2022"/>
  <c r="Q17" i="2022"/>
  <c r="P17" i="2022" s="1"/>
  <c r="AC17" i="2022" s="1"/>
  <c r="O17" i="2022"/>
  <c r="M17" i="2022"/>
  <c r="AF15" i="2022"/>
  <c r="Q15" i="2022"/>
  <c r="AF14" i="2022"/>
  <c r="AB14" i="2022"/>
  <c r="Q14" i="2022"/>
  <c r="P14" i="2022"/>
  <c r="AC14" i="2022" s="1"/>
  <c r="O14" i="2022"/>
  <c r="M14" i="2022"/>
  <c r="K14" i="2022"/>
  <c r="AF13" i="2022"/>
  <c r="AB13" i="2022"/>
  <c r="Q13" i="2022"/>
  <c r="M13" i="2022"/>
  <c r="AF12" i="2022"/>
  <c r="AB12" i="2022"/>
  <c r="Q12" i="2022"/>
  <c r="P12" i="2022" s="1"/>
  <c r="AC12" i="2022" s="1"/>
  <c r="O12" i="2022"/>
  <c r="M12" i="2022"/>
  <c r="AF11" i="2022"/>
  <c r="AB11" i="2022"/>
  <c r="Q11" i="2022"/>
  <c r="P11" i="2022"/>
  <c r="AC11" i="2022" s="1"/>
  <c r="O11" i="2022"/>
  <c r="M11" i="2022"/>
  <c r="K11" i="2022"/>
  <c r="AF10" i="2022"/>
  <c r="Q10" i="2022"/>
  <c r="AB10" i="2022"/>
  <c r="AF9" i="2022"/>
  <c r="Q9" i="2022"/>
  <c r="P9" i="2022"/>
  <c r="AC9" i="2022" s="1"/>
  <c r="AB9" i="2022"/>
  <c r="AF8" i="2022"/>
  <c r="AB8" i="2022"/>
  <c r="Q8" i="2022"/>
  <c r="P8" i="2022"/>
  <c r="AC8" i="2022" s="1"/>
  <c r="AD8" i="2022" s="1"/>
  <c r="O8" i="2022"/>
  <c r="M8" i="2022"/>
  <c r="AF7" i="2022"/>
  <c r="AB7" i="2022"/>
  <c r="Q7" i="2022"/>
  <c r="M7" i="2022"/>
  <c r="AF6" i="2022"/>
  <c r="AB6" i="2022"/>
  <c r="Q6" i="2022"/>
  <c r="P6" i="2022"/>
  <c r="O6" i="2022"/>
  <c r="M6" i="2022"/>
  <c r="K6" i="2022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L21" i="2021"/>
  <c r="L20" i="2021"/>
  <c r="L19" i="2021"/>
  <c r="AD21" i="2027" l="1"/>
  <c r="P19" i="2027"/>
  <c r="AC19" i="2027" s="1"/>
  <c r="AD19" i="2027" s="1"/>
  <c r="AD18" i="2027"/>
  <c r="P17" i="2027"/>
  <c r="AC17" i="2027" s="1"/>
  <c r="AB17" i="2027"/>
  <c r="K17" i="2027"/>
  <c r="P13" i="2027"/>
  <c r="AC13" i="2027" s="1"/>
  <c r="M13" i="2027"/>
  <c r="AB13" i="2027"/>
  <c r="Q28" i="2027"/>
  <c r="M12" i="2027"/>
  <c r="AD12" i="2027"/>
  <c r="P9" i="2027"/>
  <c r="AC9" i="2027" s="1"/>
  <c r="AD9" i="2027" s="1"/>
  <c r="M9" i="2027"/>
  <c r="AB8" i="2027"/>
  <c r="O7" i="2027"/>
  <c r="AD11" i="2027"/>
  <c r="AD14" i="2027"/>
  <c r="AD10" i="2027"/>
  <c r="AD8" i="2027"/>
  <c r="AD15" i="2027"/>
  <c r="AD6" i="2027"/>
  <c r="M7" i="2027"/>
  <c r="AB7" i="2027"/>
  <c r="M16" i="2027"/>
  <c r="AB16" i="2027"/>
  <c r="AD16" i="2027" s="1"/>
  <c r="O17" i="2027"/>
  <c r="AD17" i="2027" s="1"/>
  <c r="P20" i="2027"/>
  <c r="AC20" i="2027" s="1"/>
  <c r="L28" i="2027"/>
  <c r="O28" i="2027" s="1"/>
  <c r="K28" i="2027"/>
  <c r="M20" i="2027"/>
  <c r="AB20" i="2027"/>
  <c r="M17" i="2027"/>
  <c r="AD12" i="2026"/>
  <c r="Q28" i="2026"/>
  <c r="AD14" i="2026"/>
  <c r="AD10" i="2026"/>
  <c r="AD19" i="2026"/>
  <c r="AC28" i="2026"/>
  <c r="P28" i="2026"/>
  <c r="AB8" i="2026"/>
  <c r="M17" i="2026"/>
  <c r="AB17" i="2026"/>
  <c r="M7" i="2026"/>
  <c r="AB7" i="2026"/>
  <c r="AD7" i="2026" s="1"/>
  <c r="O8" i="2026"/>
  <c r="M11" i="2026"/>
  <c r="AB11" i="2026"/>
  <c r="AD11" i="2026" s="1"/>
  <c r="M16" i="2026"/>
  <c r="AB16" i="2026"/>
  <c r="AD16" i="2026" s="1"/>
  <c r="O17" i="2026"/>
  <c r="M20" i="2026"/>
  <c r="AB20" i="2026"/>
  <c r="AD20" i="2026" s="1"/>
  <c r="L28" i="2026"/>
  <c r="O28" i="2026" s="1"/>
  <c r="M8" i="2026"/>
  <c r="K28" i="2026"/>
  <c r="M19" i="2026"/>
  <c r="P19" i="2025"/>
  <c r="AC19" i="2025" s="1"/>
  <c r="AB19" i="2025"/>
  <c r="AD19" i="2025" s="1"/>
  <c r="O19" i="2025"/>
  <c r="P18" i="2025"/>
  <c r="AC18" i="2025" s="1"/>
  <c r="AB18" i="2025"/>
  <c r="P17" i="2025"/>
  <c r="AC17" i="2025" s="1"/>
  <c r="O9" i="2025"/>
  <c r="AD22" i="2025"/>
  <c r="AD26" i="2025"/>
  <c r="L28" i="2025"/>
  <c r="O28" i="2025" s="1"/>
  <c r="O10" i="2025"/>
  <c r="AD25" i="2025"/>
  <c r="P9" i="2025"/>
  <c r="AC9" i="2025" s="1"/>
  <c r="AB9" i="2025"/>
  <c r="P10" i="2025"/>
  <c r="AC10" i="2025" s="1"/>
  <c r="AD15" i="2025"/>
  <c r="AD24" i="2025"/>
  <c r="Q28" i="2025"/>
  <c r="P8" i="2025"/>
  <c r="AC8" i="2025" s="1"/>
  <c r="K8" i="2025"/>
  <c r="K28" i="2025" s="1"/>
  <c r="AB8" i="2025"/>
  <c r="AD10" i="2025"/>
  <c r="AD12" i="2025"/>
  <c r="AD14" i="2025"/>
  <c r="AD6" i="2025"/>
  <c r="P28" i="2025"/>
  <c r="M7" i="2025"/>
  <c r="AB7" i="2025"/>
  <c r="O8" i="2025"/>
  <c r="M11" i="2025"/>
  <c r="AB11" i="2025"/>
  <c r="M13" i="2025"/>
  <c r="AB13" i="2025"/>
  <c r="M16" i="2025"/>
  <c r="AB16" i="2025"/>
  <c r="O17" i="2025"/>
  <c r="M20" i="2025"/>
  <c r="AB20" i="2025"/>
  <c r="O21" i="2025"/>
  <c r="AD21" i="2025" s="1"/>
  <c r="O7" i="2025"/>
  <c r="O11" i="2025"/>
  <c r="O13" i="2025"/>
  <c r="O16" i="2025"/>
  <c r="M19" i="2025"/>
  <c r="O20" i="2025"/>
  <c r="M19" i="2024"/>
  <c r="AB19" i="2024"/>
  <c r="AD19" i="2024" s="1"/>
  <c r="O19" i="2024"/>
  <c r="AD13" i="2024"/>
  <c r="AD15" i="2024"/>
  <c r="AD16" i="2024"/>
  <c r="AD26" i="2024"/>
  <c r="P8" i="2024"/>
  <c r="AC8" i="2024" s="1"/>
  <c r="AD8" i="2024" s="1"/>
  <c r="AB8" i="2024"/>
  <c r="AD14" i="2024"/>
  <c r="AD20" i="2024"/>
  <c r="AD25" i="2024"/>
  <c r="M8" i="2024"/>
  <c r="P10" i="2024"/>
  <c r="AC10" i="2024" s="1"/>
  <c r="AD12" i="2024"/>
  <c r="O9" i="2024"/>
  <c r="AD9" i="2024" s="1"/>
  <c r="Q29" i="2024"/>
  <c r="P7" i="2024"/>
  <c r="AC7" i="2024" s="1"/>
  <c r="P6" i="2024"/>
  <c r="AC6" i="2024" s="1"/>
  <c r="AD6" i="2024" s="1"/>
  <c r="AD23" i="2024"/>
  <c r="AD17" i="2024"/>
  <c r="O7" i="2024"/>
  <c r="M10" i="2024"/>
  <c r="AB10" i="2024"/>
  <c r="O11" i="2024"/>
  <c r="AD11" i="2024" s="1"/>
  <c r="M18" i="2024"/>
  <c r="AB18" i="2024"/>
  <c r="AD18" i="2024" s="1"/>
  <c r="M21" i="2024"/>
  <c r="AB21" i="2024"/>
  <c r="O22" i="2024"/>
  <c r="AD22" i="2024" s="1"/>
  <c r="L29" i="2024"/>
  <c r="O29" i="2024" s="1"/>
  <c r="K29" i="2024"/>
  <c r="O10" i="2024"/>
  <c r="O18" i="2024"/>
  <c r="M20" i="2024"/>
  <c r="O21" i="2024"/>
  <c r="O20" i="2023"/>
  <c r="O19" i="2023"/>
  <c r="O17" i="2023"/>
  <c r="M11" i="2023"/>
  <c r="AD25" i="2023"/>
  <c r="O11" i="2023"/>
  <c r="AD24" i="2023"/>
  <c r="P11" i="2023"/>
  <c r="AC11" i="2023" s="1"/>
  <c r="Q28" i="2023"/>
  <c r="P9" i="2023"/>
  <c r="AC9" i="2023" s="1"/>
  <c r="AD8" i="2023"/>
  <c r="AD20" i="2023"/>
  <c r="AD11" i="2023"/>
  <c r="AD16" i="2023"/>
  <c r="AD10" i="2023"/>
  <c r="AD14" i="2023"/>
  <c r="AD13" i="2023"/>
  <c r="AD18" i="2023"/>
  <c r="O7" i="2023"/>
  <c r="AC6" i="2023"/>
  <c r="K28" i="2023"/>
  <c r="P7" i="2023"/>
  <c r="AC7" i="2023" s="1"/>
  <c r="M9" i="2023"/>
  <c r="AB9" i="2023"/>
  <c r="AD9" i="2023" s="1"/>
  <c r="M12" i="2023"/>
  <c r="AB12" i="2023"/>
  <c r="AD12" i="2023" s="1"/>
  <c r="M15" i="2023"/>
  <c r="AB15" i="2023"/>
  <c r="AD15" i="2023" s="1"/>
  <c r="M17" i="2023"/>
  <c r="AB17" i="2023"/>
  <c r="AD17" i="2023" s="1"/>
  <c r="P19" i="2023"/>
  <c r="AC19" i="2023" s="1"/>
  <c r="M21" i="2023"/>
  <c r="AB21" i="2023"/>
  <c r="AD21" i="2023" s="1"/>
  <c r="L28" i="2023"/>
  <c r="O28" i="2023" s="1"/>
  <c r="M7" i="2023"/>
  <c r="M19" i="2023"/>
  <c r="AB19" i="2023"/>
  <c r="M19" i="2022"/>
  <c r="L29" i="2022"/>
  <c r="O29" i="2022" s="1"/>
  <c r="O9" i="2022"/>
  <c r="O13" i="2022"/>
  <c r="AD14" i="2022"/>
  <c r="AD22" i="2022"/>
  <c r="AD28" i="2022"/>
  <c r="AD21" i="2022"/>
  <c r="AD11" i="2022"/>
  <c r="AD26" i="2022"/>
  <c r="M15" i="2022"/>
  <c r="AB15" i="2022"/>
  <c r="AB29" i="2022" s="1"/>
  <c r="O15" i="2022"/>
  <c r="P15" i="2022"/>
  <c r="AC15" i="2022" s="1"/>
  <c r="Q29" i="2022"/>
  <c r="AD12" i="2022"/>
  <c r="AD9" i="2022"/>
  <c r="AD17" i="2022"/>
  <c r="AD18" i="2022"/>
  <c r="O7" i="2022"/>
  <c r="M10" i="2022"/>
  <c r="AB19" i="2022"/>
  <c r="AC6" i="2022"/>
  <c r="K29" i="2022"/>
  <c r="P7" i="2022"/>
  <c r="AC7" i="2022" s="1"/>
  <c r="M9" i="2022"/>
  <c r="O10" i="2022"/>
  <c r="P13" i="2022"/>
  <c r="AC13" i="2022" s="1"/>
  <c r="AD13" i="2022" s="1"/>
  <c r="M18" i="2022"/>
  <c r="O19" i="2022"/>
  <c r="P20" i="2022"/>
  <c r="AC20" i="2022" s="1"/>
  <c r="AD20" i="2022" s="1"/>
  <c r="M22" i="2022"/>
  <c r="P10" i="2022"/>
  <c r="AC10" i="2022" s="1"/>
  <c r="P19" i="2022"/>
  <c r="AC19" i="2022" s="1"/>
  <c r="K19" i="2021"/>
  <c r="L18" i="2021"/>
  <c r="L17" i="2021"/>
  <c r="K17" i="2021"/>
  <c r="L16" i="2021"/>
  <c r="K16" i="2021" s="1"/>
  <c r="L13" i="2021"/>
  <c r="K13" i="2021" s="1"/>
  <c r="L10" i="2021"/>
  <c r="L9" i="2021"/>
  <c r="L8" i="2021"/>
  <c r="L7" i="2021"/>
  <c r="K21" i="2021"/>
  <c r="K20" i="2021"/>
  <c r="K18" i="2021"/>
  <c r="K11" i="2021"/>
  <c r="K10" i="2021"/>
  <c r="K9" i="2021"/>
  <c r="K8" i="2021"/>
  <c r="K7" i="2021"/>
  <c r="A83" i="2021"/>
  <c r="A84" i="2021" s="1"/>
  <c r="A85" i="2021" s="1"/>
  <c r="A86" i="2021" s="1"/>
  <c r="A87" i="2021" s="1"/>
  <c r="A88" i="2021" s="1"/>
  <c r="AF69" i="2021"/>
  <c r="AF67" i="2021"/>
  <c r="AF66" i="2021"/>
  <c r="AA28" i="2021"/>
  <c r="Z28" i="2021"/>
  <c r="Y28" i="2021"/>
  <c r="X28" i="2021"/>
  <c r="W28" i="2021"/>
  <c r="V28" i="2021"/>
  <c r="U28" i="2021"/>
  <c r="T28" i="2021"/>
  <c r="S28" i="2021"/>
  <c r="R28" i="2021"/>
  <c r="N28" i="2021"/>
  <c r="J28" i="2021"/>
  <c r="I28" i="2021"/>
  <c r="AF27" i="2021"/>
  <c r="AB27" i="2021"/>
  <c r="Q27" i="2021"/>
  <c r="P27" i="2021"/>
  <c r="AC27" i="2021" s="1"/>
  <c r="AD27" i="2021" s="1"/>
  <c r="O27" i="2021"/>
  <c r="M27" i="2021"/>
  <c r="K27" i="2021"/>
  <c r="AF26" i="2021"/>
  <c r="AB26" i="2021"/>
  <c r="Q26" i="2021"/>
  <c r="P26" i="2021"/>
  <c r="AC26" i="2021" s="1"/>
  <c r="AD26" i="2021" s="1"/>
  <c r="O26" i="2021"/>
  <c r="M26" i="2021"/>
  <c r="K26" i="2021"/>
  <c r="AF25" i="2021"/>
  <c r="AC25" i="2021"/>
  <c r="AD25" i="2021" s="1"/>
  <c r="AB25" i="2021"/>
  <c r="Q25" i="2021"/>
  <c r="P25" i="2021"/>
  <c r="O25" i="2021"/>
  <c r="M25" i="2021"/>
  <c r="K25" i="2021"/>
  <c r="AF24" i="2021"/>
  <c r="AC24" i="2021"/>
  <c r="AD24" i="2021" s="1"/>
  <c r="AB24" i="2021"/>
  <c r="Q24" i="2021"/>
  <c r="P24" i="2021"/>
  <c r="O24" i="2021"/>
  <c r="M24" i="2021"/>
  <c r="K24" i="2021"/>
  <c r="AF23" i="2021"/>
  <c r="AC23" i="2021"/>
  <c r="AD23" i="2021" s="1"/>
  <c r="AB23" i="2021"/>
  <c r="Q23" i="2021"/>
  <c r="P23" i="2021"/>
  <c r="O23" i="2021"/>
  <c r="M23" i="2021"/>
  <c r="K23" i="2021"/>
  <c r="AF22" i="2021"/>
  <c r="AC22" i="2021"/>
  <c r="AD22" i="2021" s="1"/>
  <c r="AB22" i="2021"/>
  <c r="Q22" i="2021"/>
  <c r="P22" i="2021"/>
  <c r="O22" i="2021"/>
  <c r="M22" i="2021"/>
  <c r="K22" i="2021"/>
  <c r="AF21" i="2021"/>
  <c r="Q21" i="2021"/>
  <c r="P21" i="2021" s="1"/>
  <c r="AC21" i="2021" s="1"/>
  <c r="O21" i="2021"/>
  <c r="AF20" i="2021"/>
  <c r="AB20" i="2021"/>
  <c r="Q20" i="2021"/>
  <c r="P20" i="2021" s="1"/>
  <c r="AC20" i="2021" s="1"/>
  <c r="O20" i="2021"/>
  <c r="M20" i="2021"/>
  <c r="AF19" i="2021"/>
  <c r="AB19" i="2021"/>
  <c r="Q19" i="2021"/>
  <c r="P19" i="2021" s="1"/>
  <c r="AC19" i="2021" s="1"/>
  <c r="O19" i="2021"/>
  <c r="M19" i="2021"/>
  <c r="AF18" i="2021"/>
  <c r="Q18" i="2021"/>
  <c r="O18" i="2021"/>
  <c r="P18" i="2021"/>
  <c r="AC18" i="2021" s="1"/>
  <c r="AF17" i="2021"/>
  <c r="AB17" i="2021"/>
  <c r="Q17" i="2021"/>
  <c r="P17" i="2021" s="1"/>
  <c r="AC17" i="2021" s="1"/>
  <c r="O17" i="2021"/>
  <c r="M17" i="2021"/>
  <c r="AF16" i="2021"/>
  <c r="AB16" i="2021"/>
  <c r="Q16" i="2021"/>
  <c r="P16" i="2021"/>
  <c r="AC16" i="2021" s="1"/>
  <c r="M16" i="2021"/>
  <c r="O16" i="2021"/>
  <c r="AF15" i="2021"/>
  <c r="AC15" i="2021"/>
  <c r="AB15" i="2021"/>
  <c r="Q15" i="2021"/>
  <c r="P15" i="2021"/>
  <c r="O15" i="2021"/>
  <c r="M15" i="2021"/>
  <c r="K15" i="2021"/>
  <c r="AF14" i="2021"/>
  <c r="AC14" i="2021"/>
  <c r="AB14" i="2021"/>
  <c r="Q14" i="2021"/>
  <c r="P14" i="2021"/>
  <c r="O14" i="2021"/>
  <c r="M14" i="2021"/>
  <c r="K14" i="2021"/>
  <c r="AF13" i="2021"/>
  <c r="Q13" i="2021"/>
  <c r="P13" i="2021" s="1"/>
  <c r="AC13" i="2021" s="1"/>
  <c r="O13" i="2021"/>
  <c r="AF12" i="2021"/>
  <c r="AB12" i="2021"/>
  <c r="Q12" i="2021"/>
  <c r="P12" i="2021"/>
  <c r="AC12" i="2021" s="1"/>
  <c r="O12" i="2021"/>
  <c r="M12" i="2021"/>
  <c r="K12" i="2021"/>
  <c r="AF11" i="2021"/>
  <c r="AB11" i="2021"/>
  <c r="Q11" i="2021"/>
  <c r="P11" i="2021"/>
  <c r="AC11" i="2021" s="1"/>
  <c r="M11" i="2021"/>
  <c r="O11" i="2021"/>
  <c r="AF10" i="2021"/>
  <c r="Q10" i="2021"/>
  <c r="O10" i="2021"/>
  <c r="P10" i="2021"/>
  <c r="AC10" i="2021" s="1"/>
  <c r="AF9" i="2021"/>
  <c r="AB9" i="2021"/>
  <c r="Q9" i="2021"/>
  <c r="P9" i="2021"/>
  <c r="AC9" i="2021" s="1"/>
  <c r="O9" i="2021"/>
  <c r="M9" i="2021"/>
  <c r="AF8" i="2021"/>
  <c r="Q8" i="2021"/>
  <c r="O8" i="2021"/>
  <c r="AF7" i="2021"/>
  <c r="AB7" i="2021"/>
  <c r="Q7" i="2021"/>
  <c r="P7" i="2021" s="1"/>
  <c r="AC7" i="2021" s="1"/>
  <c r="M7" i="2021"/>
  <c r="L28" i="2021"/>
  <c r="O28" i="2021" s="1"/>
  <c r="AF6" i="2021"/>
  <c r="AC6" i="2021"/>
  <c r="AD6" i="2021" s="1"/>
  <c r="AB6" i="2021"/>
  <c r="Q6" i="2021"/>
  <c r="P6" i="2021"/>
  <c r="O6" i="2021"/>
  <c r="M6" i="2021"/>
  <c r="K6" i="2021"/>
  <c r="Y25" i="16"/>
  <c r="Y24" i="16"/>
  <c r="Y23" i="16"/>
  <c r="Y22" i="16"/>
  <c r="Y21" i="16"/>
  <c r="Y20" i="16"/>
  <c r="Y19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L21" i="2020"/>
  <c r="K21" i="2020" s="1"/>
  <c r="L20" i="2020"/>
  <c r="L18" i="2020"/>
  <c r="L16" i="2020"/>
  <c r="K16" i="2020" s="1"/>
  <c r="L13" i="2020"/>
  <c r="K13" i="2020" s="1"/>
  <c r="L11" i="2020"/>
  <c r="K11" i="2020" s="1"/>
  <c r="L10" i="2020"/>
  <c r="L9" i="2020"/>
  <c r="O9" i="2020" s="1"/>
  <c r="L8" i="2020"/>
  <c r="K8" i="2020" s="1"/>
  <c r="L7" i="2020"/>
  <c r="K20" i="2020"/>
  <c r="K18" i="2020"/>
  <c r="K17" i="2020"/>
  <c r="K10" i="2020"/>
  <c r="K7" i="2020"/>
  <c r="A83" i="2020"/>
  <c r="A84" i="2020" s="1"/>
  <c r="A85" i="2020" s="1"/>
  <c r="A86" i="2020" s="1"/>
  <c r="A87" i="2020" s="1"/>
  <c r="A88" i="2020" s="1"/>
  <c r="AF67" i="2020"/>
  <c r="AF66" i="2020"/>
  <c r="AF69" i="2020" s="1"/>
  <c r="AA28" i="2020"/>
  <c r="Z28" i="2020"/>
  <c r="Y28" i="2020"/>
  <c r="X28" i="2020"/>
  <c r="W28" i="2020"/>
  <c r="V28" i="2020"/>
  <c r="U28" i="2020"/>
  <c r="T28" i="2020"/>
  <c r="S28" i="2020"/>
  <c r="R28" i="2020"/>
  <c r="N28" i="2020"/>
  <c r="J28" i="2020"/>
  <c r="I28" i="2020"/>
  <c r="AF27" i="2020"/>
  <c r="AB27" i="2020"/>
  <c r="Q27" i="2020"/>
  <c r="P27" i="2020"/>
  <c r="AC27" i="2020" s="1"/>
  <c r="AD27" i="2020" s="1"/>
  <c r="O27" i="2020"/>
  <c r="M27" i="2020"/>
  <c r="K27" i="2020"/>
  <c r="AF26" i="2020"/>
  <c r="AB26" i="2020"/>
  <c r="Q26" i="2020"/>
  <c r="P26" i="2020"/>
  <c r="AC26" i="2020" s="1"/>
  <c r="AD26" i="2020" s="1"/>
  <c r="O26" i="2020"/>
  <c r="M26" i="2020"/>
  <c r="K26" i="2020"/>
  <c r="AF25" i="2020"/>
  <c r="AB25" i="2020"/>
  <c r="Q25" i="2020"/>
  <c r="P25" i="2020"/>
  <c r="AC25" i="2020" s="1"/>
  <c r="AD25" i="2020" s="1"/>
  <c r="O25" i="2020"/>
  <c r="M25" i="2020"/>
  <c r="K25" i="2020"/>
  <c r="AF24" i="2020"/>
  <c r="AB24" i="2020"/>
  <c r="Q24" i="2020"/>
  <c r="P24" i="2020"/>
  <c r="AC24" i="2020" s="1"/>
  <c r="AD24" i="2020" s="1"/>
  <c r="O24" i="2020"/>
  <c r="M24" i="2020"/>
  <c r="K24" i="2020"/>
  <c r="AF23" i="2020"/>
  <c r="AB23" i="2020"/>
  <c r="Q23" i="2020"/>
  <c r="P23" i="2020"/>
  <c r="AC23" i="2020" s="1"/>
  <c r="AD23" i="2020" s="1"/>
  <c r="O23" i="2020"/>
  <c r="M23" i="2020"/>
  <c r="K23" i="2020"/>
  <c r="AF22" i="2020"/>
  <c r="AB22" i="2020"/>
  <c r="Q22" i="2020"/>
  <c r="P22" i="2020"/>
  <c r="AC22" i="2020" s="1"/>
  <c r="AD22" i="2020" s="1"/>
  <c r="O22" i="2020"/>
  <c r="M22" i="2020"/>
  <c r="K22" i="2020"/>
  <c r="AF21" i="2020"/>
  <c r="AB21" i="2020"/>
  <c r="Q21" i="2020"/>
  <c r="P21" i="2020" s="1"/>
  <c r="AC21" i="2020" s="1"/>
  <c r="M21" i="2020"/>
  <c r="AF20" i="2020"/>
  <c r="AB20" i="2020"/>
  <c r="Q20" i="2020"/>
  <c r="P20" i="2020" s="1"/>
  <c r="AC20" i="2020" s="1"/>
  <c r="O20" i="2020"/>
  <c r="M20" i="2020"/>
  <c r="AF19" i="2020"/>
  <c r="AB19" i="2020"/>
  <c r="Q19" i="2020"/>
  <c r="P19" i="2020" s="1"/>
  <c r="AC19" i="2020" s="1"/>
  <c r="O19" i="2020"/>
  <c r="M19" i="2020"/>
  <c r="K19" i="2020"/>
  <c r="AF18" i="2020"/>
  <c r="AB18" i="2020"/>
  <c r="Q18" i="2020"/>
  <c r="M18" i="2020"/>
  <c r="O18" i="2020"/>
  <c r="AF17" i="2020"/>
  <c r="AB17" i="2020"/>
  <c r="Q17" i="2020"/>
  <c r="P17" i="2020" s="1"/>
  <c r="AC17" i="2020" s="1"/>
  <c r="O17" i="2020"/>
  <c r="M17" i="2020"/>
  <c r="AF16" i="2020"/>
  <c r="AB16" i="2020"/>
  <c r="Q16" i="2020"/>
  <c r="O16" i="2020"/>
  <c r="M16" i="2020"/>
  <c r="AF15" i="2020"/>
  <c r="AB15" i="2020"/>
  <c r="Q15" i="2020"/>
  <c r="P15" i="2020"/>
  <c r="AC15" i="2020" s="1"/>
  <c r="O15" i="2020"/>
  <c r="M15" i="2020"/>
  <c r="K15" i="2020"/>
  <c r="AF14" i="2020"/>
  <c r="AC14" i="2020"/>
  <c r="AD14" i="2020" s="1"/>
  <c r="AB14" i="2020"/>
  <c r="Q14" i="2020"/>
  <c r="P14" i="2020"/>
  <c r="O14" i="2020"/>
  <c r="M14" i="2020"/>
  <c r="K14" i="2020"/>
  <c r="AF13" i="2020"/>
  <c r="Q13" i="2020"/>
  <c r="AB13" i="2020"/>
  <c r="AF12" i="2020"/>
  <c r="AB12" i="2020"/>
  <c r="Q12" i="2020"/>
  <c r="P12" i="2020"/>
  <c r="AC12" i="2020" s="1"/>
  <c r="AD12" i="2020" s="1"/>
  <c r="O12" i="2020"/>
  <c r="M12" i="2020"/>
  <c r="K12" i="2020"/>
  <c r="AF11" i="2020"/>
  <c r="AB11" i="2020"/>
  <c r="Q11" i="2020"/>
  <c r="P11" i="2020" s="1"/>
  <c r="AC11" i="2020" s="1"/>
  <c r="O11" i="2020"/>
  <c r="M11" i="2020"/>
  <c r="AF10" i="2020"/>
  <c r="AB10" i="2020"/>
  <c r="Q10" i="2020"/>
  <c r="P10" i="2020" s="1"/>
  <c r="AC10" i="2020" s="1"/>
  <c r="AD10" i="2020" s="1"/>
  <c r="O10" i="2020"/>
  <c r="M10" i="2020"/>
  <c r="AF9" i="2020"/>
  <c r="AB9" i="2020"/>
  <c r="Q9" i="2020"/>
  <c r="M9" i="2020"/>
  <c r="AF8" i="2020"/>
  <c r="Q8" i="2020"/>
  <c r="AB8" i="2020"/>
  <c r="AF7" i="2020"/>
  <c r="AB7" i="2020"/>
  <c r="Q7" i="2020"/>
  <c r="P7" i="2020" s="1"/>
  <c r="AC7" i="2020" s="1"/>
  <c r="O7" i="2020"/>
  <c r="M7" i="2020"/>
  <c r="AF6" i="2020"/>
  <c r="AB6" i="2020"/>
  <c r="Q6" i="2020"/>
  <c r="P6" i="2020"/>
  <c r="AC6" i="2020" s="1"/>
  <c r="O6" i="2020"/>
  <c r="M6" i="2020"/>
  <c r="K6" i="2020"/>
  <c r="AD28" i="2019"/>
  <c r="X25" i="16"/>
  <c r="X24" i="16"/>
  <c r="X23" i="16"/>
  <c r="X22" i="16"/>
  <c r="X21" i="16"/>
  <c r="X20" i="16"/>
  <c r="X19" i="16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X3" i="16"/>
  <c r="K19" i="2019"/>
  <c r="L18" i="2019"/>
  <c r="L13" i="2019"/>
  <c r="L9" i="2019"/>
  <c r="L8" i="2019"/>
  <c r="K8" i="2019" s="1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K21" i="2019"/>
  <c r="K20" i="2019"/>
  <c r="K18" i="2019"/>
  <c r="K17" i="2019"/>
  <c r="K16" i="2019"/>
  <c r="K13" i="2019"/>
  <c r="K11" i="2019"/>
  <c r="K10" i="2019"/>
  <c r="K9" i="2019"/>
  <c r="K7" i="2019"/>
  <c r="A83" i="2019"/>
  <c r="A84" i="2019" s="1"/>
  <c r="A85" i="2019" s="1"/>
  <c r="A86" i="2019" s="1"/>
  <c r="A87" i="2019" s="1"/>
  <c r="A88" i="2019" s="1"/>
  <c r="AF67" i="2019"/>
  <c r="AF66" i="2019"/>
  <c r="AF69" i="2019" s="1"/>
  <c r="AA28" i="2019"/>
  <c r="Z28" i="2019"/>
  <c r="Y28" i="2019"/>
  <c r="X28" i="2019"/>
  <c r="W28" i="2019"/>
  <c r="V28" i="2019"/>
  <c r="U28" i="2019"/>
  <c r="T28" i="2019"/>
  <c r="S28" i="2019"/>
  <c r="R28" i="2019"/>
  <c r="N28" i="2019"/>
  <c r="J28" i="2019"/>
  <c r="I28" i="2019"/>
  <c r="AF27" i="2019"/>
  <c r="AB27" i="2019"/>
  <c r="Q27" i="2019"/>
  <c r="P27" i="2019"/>
  <c r="AC27" i="2019" s="1"/>
  <c r="AD27" i="2019" s="1"/>
  <c r="O27" i="2019"/>
  <c r="M27" i="2019"/>
  <c r="K27" i="2019"/>
  <c r="AF26" i="2019"/>
  <c r="AB26" i="2019"/>
  <c r="Q26" i="2019"/>
  <c r="P26" i="2019"/>
  <c r="AC26" i="2019" s="1"/>
  <c r="AD26" i="2019" s="1"/>
  <c r="O26" i="2019"/>
  <c r="M26" i="2019"/>
  <c r="K26" i="2019"/>
  <c r="AF25" i="2019"/>
  <c r="AB25" i="2019"/>
  <c r="Q25" i="2019"/>
  <c r="P25" i="2019"/>
  <c r="AC25" i="2019" s="1"/>
  <c r="AD25" i="2019" s="1"/>
  <c r="O25" i="2019"/>
  <c r="M25" i="2019"/>
  <c r="K25" i="2019"/>
  <c r="AF24" i="2019"/>
  <c r="AB24" i="2019"/>
  <c r="Q24" i="2019"/>
  <c r="P24" i="2019"/>
  <c r="AC24" i="2019" s="1"/>
  <c r="AD24" i="2019" s="1"/>
  <c r="O24" i="2019"/>
  <c r="M24" i="2019"/>
  <c r="K24" i="2019"/>
  <c r="AF23" i="2019"/>
  <c r="AB23" i="2019"/>
  <c r="Q23" i="2019"/>
  <c r="P23" i="2019"/>
  <c r="AC23" i="2019" s="1"/>
  <c r="AD23" i="2019" s="1"/>
  <c r="O23" i="2019"/>
  <c r="M23" i="2019"/>
  <c r="K23" i="2019"/>
  <c r="AF22" i="2019"/>
  <c r="AB22" i="2019"/>
  <c r="Q22" i="2019"/>
  <c r="P22" i="2019"/>
  <c r="AC22" i="2019" s="1"/>
  <c r="AD22" i="2019" s="1"/>
  <c r="O22" i="2019"/>
  <c r="M22" i="2019"/>
  <c r="K22" i="2019"/>
  <c r="AF21" i="2019"/>
  <c r="Q21" i="2019"/>
  <c r="O21" i="2019"/>
  <c r="P21" i="2019"/>
  <c r="AC21" i="2019" s="1"/>
  <c r="AF20" i="2019"/>
  <c r="AB20" i="2019"/>
  <c r="Q20" i="2019"/>
  <c r="P20" i="2019" s="1"/>
  <c r="AC20" i="2019" s="1"/>
  <c r="M20" i="2019"/>
  <c r="O20" i="2019"/>
  <c r="AF19" i="2019"/>
  <c r="Q19" i="2019"/>
  <c r="O19" i="2019"/>
  <c r="AF18" i="2019"/>
  <c r="AB18" i="2019"/>
  <c r="Q18" i="2019"/>
  <c r="P18" i="2019"/>
  <c r="AC18" i="2019" s="1"/>
  <c r="M18" i="2019"/>
  <c r="O18" i="2019"/>
  <c r="AF17" i="2019"/>
  <c r="Q17" i="2019"/>
  <c r="P17" i="2019" s="1"/>
  <c r="AC17" i="2019" s="1"/>
  <c r="O17" i="2019"/>
  <c r="AF16" i="2019"/>
  <c r="AB16" i="2019"/>
  <c r="Q16" i="2019"/>
  <c r="P16" i="2019" s="1"/>
  <c r="AC16" i="2019" s="1"/>
  <c r="M16" i="2019"/>
  <c r="O16" i="2019"/>
  <c r="AF15" i="2019"/>
  <c r="AB15" i="2019"/>
  <c r="Q15" i="2019"/>
  <c r="P15" i="2019"/>
  <c r="AC15" i="2019" s="1"/>
  <c r="O15" i="2019"/>
  <c r="M15" i="2019"/>
  <c r="K15" i="2019"/>
  <c r="AF14" i="2019"/>
  <c r="AB14" i="2019"/>
  <c r="Q14" i="2019"/>
  <c r="P14" i="2019"/>
  <c r="AC14" i="2019" s="1"/>
  <c r="AD14" i="2019" s="1"/>
  <c r="O14" i="2019"/>
  <c r="M14" i="2019"/>
  <c r="K14" i="2019"/>
  <c r="AF13" i="2019"/>
  <c r="Q13" i="2019"/>
  <c r="P13" i="2019" s="1"/>
  <c r="AC13" i="2019" s="1"/>
  <c r="O13" i="2019"/>
  <c r="AF12" i="2019"/>
  <c r="AB12" i="2019"/>
  <c r="Q12" i="2019"/>
  <c r="P12" i="2019"/>
  <c r="AC12" i="2019" s="1"/>
  <c r="O12" i="2019"/>
  <c r="M12" i="2019"/>
  <c r="K12" i="2019"/>
  <c r="AF11" i="2019"/>
  <c r="AB11" i="2019"/>
  <c r="Q11" i="2019"/>
  <c r="P11" i="2019" s="1"/>
  <c r="AC11" i="2019" s="1"/>
  <c r="AD11" i="2019" s="1"/>
  <c r="M11" i="2019"/>
  <c r="O11" i="2019"/>
  <c r="AF10" i="2019"/>
  <c r="Q10" i="2019"/>
  <c r="P10" i="2019" s="1"/>
  <c r="AC10" i="2019" s="1"/>
  <c r="O10" i="2019"/>
  <c r="AF9" i="2019"/>
  <c r="AB9" i="2019"/>
  <c r="Q9" i="2019"/>
  <c r="P9" i="2019" s="1"/>
  <c r="AC9" i="2019" s="1"/>
  <c r="M9" i="2019"/>
  <c r="O9" i="2019"/>
  <c r="AF8" i="2019"/>
  <c r="Q8" i="2019"/>
  <c r="O8" i="2019"/>
  <c r="AF7" i="2019"/>
  <c r="AB7" i="2019"/>
  <c r="Q7" i="2019"/>
  <c r="P7" i="2019"/>
  <c r="AC7" i="2019" s="1"/>
  <c r="O7" i="2019"/>
  <c r="M7" i="2019"/>
  <c r="AF6" i="2019"/>
  <c r="AB6" i="2019"/>
  <c r="Q6" i="2019"/>
  <c r="P6" i="2019"/>
  <c r="AC6" i="2019" s="1"/>
  <c r="O6" i="2019"/>
  <c r="M6" i="2019"/>
  <c r="K6" i="2019"/>
  <c r="L22" i="2018"/>
  <c r="K22" i="2018" s="1"/>
  <c r="L21" i="2018"/>
  <c r="L20" i="2018"/>
  <c r="K20" i="2018" s="1"/>
  <c r="L19" i="2018"/>
  <c r="L18" i="2018"/>
  <c r="K18" i="2018" s="1"/>
  <c r="AF18" i="2018"/>
  <c r="AB18" i="2018"/>
  <c r="Q18" i="2018"/>
  <c r="M18" i="2018"/>
  <c r="L16" i="2018"/>
  <c r="K16" i="2018" s="1"/>
  <c r="L13" i="2018"/>
  <c r="K13" i="2018" s="1"/>
  <c r="L11" i="2018"/>
  <c r="L10" i="2018"/>
  <c r="L9" i="2018"/>
  <c r="AB9" i="2018" s="1"/>
  <c r="L8" i="2018"/>
  <c r="K8" i="2018" s="1"/>
  <c r="L7" i="2018"/>
  <c r="K7" i="2018" s="1"/>
  <c r="K28" i="2018"/>
  <c r="K21" i="2018"/>
  <c r="K19" i="2018"/>
  <c r="K17" i="2018"/>
  <c r="K14" i="2018"/>
  <c r="K12" i="2018"/>
  <c r="K10" i="2018"/>
  <c r="K9" i="2018"/>
  <c r="K6" i="2018"/>
  <c r="A84" i="2018"/>
  <c r="A85" i="2018" s="1"/>
  <c r="A86" i="2018" s="1"/>
  <c r="A87" i="2018" s="1"/>
  <c r="A88" i="2018" s="1"/>
  <c r="A89" i="2018" s="1"/>
  <c r="AF68" i="2018"/>
  <c r="AF67" i="2018"/>
  <c r="AA29" i="2018"/>
  <c r="Z29" i="2018"/>
  <c r="Y29" i="2018"/>
  <c r="X29" i="2018"/>
  <c r="W29" i="2018"/>
  <c r="V29" i="2018"/>
  <c r="U29" i="2018"/>
  <c r="T29" i="2018"/>
  <c r="S29" i="2018"/>
  <c r="R29" i="2018"/>
  <c r="N29" i="2018"/>
  <c r="J29" i="2018"/>
  <c r="I29" i="2018"/>
  <c r="AF28" i="2018"/>
  <c r="AB28" i="2018"/>
  <c r="Q28" i="2018"/>
  <c r="P28" i="2018"/>
  <c r="AC28" i="2018" s="1"/>
  <c r="M28" i="2018"/>
  <c r="O28" i="2018"/>
  <c r="AF27" i="2018"/>
  <c r="AB27" i="2018"/>
  <c r="Q27" i="2018"/>
  <c r="P27" i="2018"/>
  <c r="AC27" i="2018" s="1"/>
  <c r="O27" i="2018"/>
  <c r="M27" i="2018"/>
  <c r="K27" i="2018"/>
  <c r="AF26" i="2018"/>
  <c r="AB26" i="2018"/>
  <c r="Q26" i="2018"/>
  <c r="P26" i="2018"/>
  <c r="AC26" i="2018" s="1"/>
  <c r="O26" i="2018"/>
  <c r="M26" i="2018"/>
  <c r="K26" i="2018"/>
  <c r="AF25" i="2018"/>
  <c r="AB25" i="2018"/>
  <c r="Q25" i="2018"/>
  <c r="P25" i="2018"/>
  <c r="AC25" i="2018" s="1"/>
  <c r="O25" i="2018"/>
  <c r="M25" i="2018"/>
  <c r="K25" i="2018"/>
  <c r="AF24" i="2018"/>
  <c r="AB24" i="2018"/>
  <c r="Q24" i="2018"/>
  <c r="P24" i="2018"/>
  <c r="AC24" i="2018" s="1"/>
  <c r="O24" i="2018"/>
  <c r="M24" i="2018"/>
  <c r="K24" i="2018"/>
  <c r="AF23" i="2018"/>
  <c r="AB23" i="2018"/>
  <c r="Q23" i="2018"/>
  <c r="P23" i="2018"/>
  <c r="AC23" i="2018" s="1"/>
  <c r="O23" i="2018"/>
  <c r="M23" i="2018"/>
  <c r="K23" i="2018"/>
  <c r="AF22" i="2018"/>
  <c r="Q22" i="2018"/>
  <c r="AB22" i="2018"/>
  <c r="AF21" i="2018"/>
  <c r="Q21" i="2018"/>
  <c r="P21" i="2018" s="1"/>
  <c r="AC21" i="2018" s="1"/>
  <c r="AF20" i="2018"/>
  <c r="Q20" i="2018"/>
  <c r="AB20" i="2018"/>
  <c r="AF19" i="2018"/>
  <c r="AB19" i="2018"/>
  <c r="Q19" i="2018"/>
  <c r="P19" i="2018"/>
  <c r="AC19" i="2018" s="1"/>
  <c r="O19" i="2018"/>
  <c r="M19" i="2018"/>
  <c r="AF17" i="2018"/>
  <c r="AB17" i="2018"/>
  <c r="Q17" i="2018"/>
  <c r="P17" i="2018" s="1"/>
  <c r="AC17" i="2018" s="1"/>
  <c r="M17" i="2018"/>
  <c r="AF16" i="2018"/>
  <c r="Q16" i="2018"/>
  <c r="P16" i="2018"/>
  <c r="AC16" i="2018" s="1"/>
  <c r="AF15" i="2018"/>
  <c r="AB15" i="2018"/>
  <c r="Q15" i="2018"/>
  <c r="P15" i="2018"/>
  <c r="AC15" i="2018" s="1"/>
  <c r="O15" i="2018"/>
  <c r="M15" i="2018"/>
  <c r="K15" i="2018"/>
  <c r="AF14" i="2018"/>
  <c r="AB14" i="2018"/>
  <c r="Q14" i="2018"/>
  <c r="P14" i="2018" s="1"/>
  <c r="AC14" i="2018" s="1"/>
  <c r="O14" i="2018"/>
  <c r="M14" i="2018"/>
  <c r="AF13" i="2018"/>
  <c r="Q13" i="2018"/>
  <c r="AF12" i="2018"/>
  <c r="AB12" i="2018"/>
  <c r="Q12" i="2018"/>
  <c r="P12" i="2018"/>
  <c r="AC12" i="2018" s="1"/>
  <c r="O12" i="2018"/>
  <c r="M12" i="2018"/>
  <c r="AF11" i="2018"/>
  <c r="Q11" i="2018"/>
  <c r="AF10" i="2018"/>
  <c r="Q10" i="2018"/>
  <c r="P10" i="2018"/>
  <c r="AC10" i="2018" s="1"/>
  <c r="O10" i="2018"/>
  <c r="AF9" i="2018"/>
  <c r="Q9" i="2018"/>
  <c r="O9" i="2018"/>
  <c r="M9" i="2018"/>
  <c r="AF8" i="2018"/>
  <c r="Q8" i="2018"/>
  <c r="O8" i="2018"/>
  <c r="AF7" i="2018"/>
  <c r="Q7" i="2018"/>
  <c r="AF6" i="2018"/>
  <c r="AB6" i="2018"/>
  <c r="Q6" i="2018"/>
  <c r="P6" i="2018"/>
  <c r="AC6" i="2018" s="1"/>
  <c r="O6" i="2018"/>
  <c r="M6" i="2018"/>
  <c r="V25" i="16"/>
  <c r="V24" i="16"/>
  <c r="V23" i="16"/>
  <c r="V22" i="16"/>
  <c r="V21" i="16"/>
  <c r="V20" i="16"/>
  <c r="V19" i="16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L21" i="2017"/>
  <c r="K21" i="2017" s="1"/>
  <c r="L20" i="2017"/>
  <c r="K20" i="2017" s="1"/>
  <c r="L19" i="2017"/>
  <c r="AB19" i="2017" s="1"/>
  <c r="K19" i="2017"/>
  <c r="L18" i="2017"/>
  <c r="O18" i="2017" s="1"/>
  <c r="L17" i="2017"/>
  <c r="L16" i="2017"/>
  <c r="K14" i="2017"/>
  <c r="L13" i="2017"/>
  <c r="AB13" i="2017" s="1"/>
  <c r="L11" i="2017"/>
  <c r="AB11" i="2017" s="1"/>
  <c r="K11" i="2017"/>
  <c r="L10" i="2017"/>
  <c r="K10" i="2017"/>
  <c r="L9" i="2017"/>
  <c r="O9" i="2017" s="1"/>
  <c r="L8" i="2017"/>
  <c r="L7" i="2017"/>
  <c r="O7" i="2017" s="1"/>
  <c r="K6" i="2017"/>
  <c r="L27" i="2017"/>
  <c r="AB27" i="2017" s="1"/>
  <c r="K27" i="2017"/>
  <c r="K18" i="2017"/>
  <c r="K17" i="2017"/>
  <c r="K16" i="2017"/>
  <c r="K13" i="2017"/>
  <c r="K12" i="2017"/>
  <c r="K9" i="2017"/>
  <c r="K8" i="2017"/>
  <c r="K7" i="2017"/>
  <c r="A83" i="2017"/>
  <c r="A84" i="2017" s="1"/>
  <c r="A85" i="2017" s="1"/>
  <c r="A86" i="2017" s="1"/>
  <c r="A87" i="2017" s="1"/>
  <c r="A88" i="2017" s="1"/>
  <c r="AF67" i="2017"/>
  <c r="AF66" i="2017"/>
  <c r="AA28" i="2017"/>
  <c r="Z28" i="2017"/>
  <c r="Y28" i="2017"/>
  <c r="X28" i="2017"/>
  <c r="W28" i="2017"/>
  <c r="V28" i="2017"/>
  <c r="U28" i="2017"/>
  <c r="T28" i="2017"/>
  <c r="S28" i="2017"/>
  <c r="R28" i="2017"/>
  <c r="N28" i="2017"/>
  <c r="J28" i="2017"/>
  <c r="I28" i="2017"/>
  <c r="AF27" i="2017"/>
  <c r="Q27" i="2017"/>
  <c r="O27" i="2017"/>
  <c r="M27" i="2017"/>
  <c r="AF26" i="2017"/>
  <c r="AB26" i="2017"/>
  <c r="Q26" i="2017"/>
  <c r="P26" i="2017"/>
  <c r="AC26" i="2017" s="1"/>
  <c r="O26" i="2017"/>
  <c r="M26" i="2017"/>
  <c r="K26" i="2017"/>
  <c r="AF25" i="2017"/>
  <c r="AB25" i="2017"/>
  <c r="Q25" i="2017"/>
  <c r="P25" i="2017"/>
  <c r="AC25" i="2017" s="1"/>
  <c r="O25" i="2017"/>
  <c r="M25" i="2017"/>
  <c r="K25" i="2017"/>
  <c r="AF24" i="2017"/>
  <c r="AB24" i="2017"/>
  <c r="Q24" i="2017"/>
  <c r="P24" i="2017"/>
  <c r="AC24" i="2017" s="1"/>
  <c r="O24" i="2017"/>
  <c r="M24" i="2017"/>
  <c r="K24" i="2017"/>
  <c r="AF23" i="2017"/>
  <c r="AB23" i="2017"/>
  <c r="Q23" i="2017"/>
  <c r="P23" i="2017"/>
  <c r="AC23" i="2017" s="1"/>
  <c r="O23" i="2017"/>
  <c r="M23" i="2017"/>
  <c r="K23" i="2017"/>
  <c r="AF22" i="2017"/>
  <c r="AB22" i="2017"/>
  <c r="Q22" i="2017"/>
  <c r="P22" i="2017"/>
  <c r="AC22" i="2017" s="1"/>
  <c r="O22" i="2017"/>
  <c r="M22" i="2017"/>
  <c r="K22" i="2017"/>
  <c r="AF21" i="2017"/>
  <c r="AB21" i="2017"/>
  <c r="Q21" i="2017"/>
  <c r="P21" i="2017"/>
  <c r="AC21" i="2017" s="1"/>
  <c r="M21" i="2017"/>
  <c r="AF20" i="2017"/>
  <c r="AB20" i="2017"/>
  <c r="Q20" i="2017"/>
  <c r="P20" i="2017" s="1"/>
  <c r="AC20" i="2017" s="1"/>
  <c r="O20" i="2017"/>
  <c r="M20" i="2017"/>
  <c r="AF19" i="2017"/>
  <c r="Q19" i="2017"/>
  <c r="P19" i="2017" s="1"/>
  <c r="AC19" i="2017" s="1"/>
  <c r="O19" i="2017"/>
  <c r="AF18" i="2017"/>
  <c r="AB18" i="2017"/>
  <c r="Q18" i="2017"/>
  <c r="P18" i="2017"/>
  <c r="AC18" i="2017" s="1"/>
  <c r="M18" i="2017"/>
  <c r="AF17" i="2017"/>
  <c r="AB17" i="2017"/>
  <c r="Q17" i="2017"/>
  <c r="P17" i="2017" s="1"/>
  <c r="AC17" i="2017" s="1"/>
  <c r="O17" i="2017"/>
  <c r="M17" i="2017"/>
  <c r="AF16" i="2017"/>
  <c r="Q16" i="2017"/>
  <c r="O16" i="2017"/>
  <c r="AF15" i="2017"/>
  <c r="AB15" i="2017"/>
  <c r="Q15" i="2017"/>
  <c r="P15" i="2017"/>
  <c r="AC15" i="2017" s="1"/>
  <c r="AD15" i="2017" s="1"/>
  <c r="O15" i="2017"/>
  <c r="M15" i="2017"/>
  <c r="K15" i="2017"/>
  <c r="AF14" i="2017"/>
  <c r="AB14" i="2017"/>
  <c r="Q14" i="2017"/>
  <c r="P14" i="2017"/>
  <c r="AC14" i="2017" s="1"/>
  <c r="O14" i="2017"/>
  <c r="M14" i="2017"/>
  <c r="AF13" i="2017"/>
  <c r="Q13" i="2017"/>
  <c r="O13" i="2017"/>
  <c r="AF12" i="2017"/>
  <c r="AB12" i="2017"/>
  <c r="Q12" i="2017"/>
  <c r="O12" i="2017"/>
  <c r="M12" i="2017"/>
  <c r="P12" i="2017"/>
  <c r="AC12" i="2017" s="1"/>
  <c r="AF11" i="2017"/>
  <c r="Q11" i="2017"/>
  <c r="P11" i="2017" s="1"/>
  <c r="AC11" i="2017" s="1"/>
  <c r="O11" i="2017"/>
  <c r="AF10" i="2017"/>
  <c r="AB10" i="2017"/>
  <c r="Q10" i="2017"/>
  <c r="M10" i="2017"/>
  <c r="AF9" i="2017"/>
  <c r="Q9" i="2017"/>
  <c r="P9" i="2017" s="1"/>
  <c r="AC9" i="2017" s="1"/>
  <c r="AF8" i="2017"/>
  <c r="AB8" i="2017"/>
  <c r="Q8" i="2017"/>
  <c r="P8" i="2017" s="1"/>
  <c r="AC8" i="2017" s="1"/>
  <c r="O8" i="2017"/>
  <c r="M8" i="2017"/>
  <c r="AF7" i="2017"/>
  <c r="AB7" i="2017"/>
  <c r="Q7" i="2017"/>
  <c r="P7" i="2017" s="1"/>
  <c r="M7" i="2017"/>
  <c r="AF6" i="2017"/>
  <c r="AB6" i="2017"/>
  <c r="Q6" i="2017"/>
  <c r="P6" i="2017"/>
  <c r="AC6" i="2017" s="1"/>
  <c r="O6" i="2017"/>
  <c r="M6" i="2017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L23" i="2016"/>
  <c r="L22" i="2016"/>
  <c r="L20" i="2016"/>
  <c r="L19" i="2016"/>
  <c r="AB19" i="2016" s="1"/>
  <c r="AF19" i="2016"/>
  <c r="Q19" i="2016"/>
  <c r="L18" i="2016"/>
  <c r="K18" i="2016" s="1"/>
  <c r="AC28" i="2027" l="1"/>
  <c r="M28" i="2027"/>
  <c r="P28" i="2027"/>
  <c r="AD13" i="2027"/>
  <c r="AB28" i="2027"/>
  <c r="AD20" i="2027"/>
  <c r="AD7" i="2027"/>
  <c r="AD8" i="2026"/>
  <c r="AD17" i="2026"/>
  <c r="AD28" i="2026" s="1"/>
  <c r="M28" i="2026"/>
  <c r="AB28" i="2026"/>
  <c r="AD18" i="2025"/>
  <c r="AC28" i="2025"/>
  <c r="AD17" i="2025"/>
  <c r="AD16" i="2025"/>
  <c r="AD13" i="2025"/>
  <c r="AD9" i="2025"/>
  <c r="AD11" i="2025"/>
  <c r="AD8" i="2025"/>
  <c r="AD7" i="2025"/>
  <c r="M28" i="2025"/>
  <c r="AD20" i="2025"/>
  <c r="AB28" i="2025"/>
  <c r="AD21" i="2024"/>
  <c r="AC29" i="2024"/>
  <c r="AD7" i="2024"/>
  <c r="P29" i="2024"/>
  <c r="M29" i="2024"/>
  <c r="AB29" i="2024"/>
  <c r="AD10" i="2024"/>
  <c r="P28" i="2023"/>
  <c r="M28" i="2023"/>
  <c r="AD19" i="2023"/>
  <c r="AD7" i="2023"/>
  <c r="AB28" i="2023"/>
  <c r="AC28" i="2023"/>
  <c r="AD6" i="2023"/>
  <c r="M29" i="2022"/>
  <c r="AD15" i="2022"/>
  <c r="AD10" i="2022"/>
  <c r="AC29" i="2022"/>
  <c r="AD6" i="2022"/>
  <c r="AD19" i="2022"/>
  <c r="P29" i="2022"/>
  <c r="AD7" i="2022"/>
  <c r="AD19" i="2021"/>
  <c r="Q28" i="2021"/>
  <c r="AD14" i="2021"/>
  <c r="AD15" i="2021"/>
  <c r="AD9" i="2021"/>
  <c r="AD20" i="2021"/>
  <c r="AD12" i="2021"/>
  <c r="AD17" i="2021"/>
  <c r="AD11" i="2021"/>
  <c r="AD7" i="2021"/>
  <c r="AD16" i="2021"/>
  <c r="O7" i="2021"/>
  <c r="K28" i="2021"/>
  <c r="P8" i="2021"/>
  <c r="AC8" i="2021" s="1"/>
  <c r="M10" i="2021"/>
  <c r="AB10" i="2021"/>
  <c r="AD10" i="2021" s="1"/>
  <c r="M13" i="2021"/>
  <c r="AB13" i="2021"/>
  <c r="AD13" i="2021" s="1"/>
  <c r="M18" i="2021"/>
  <c r="AB18" i="2021"/>
  <c r="AD18" i="2021" s="1"/>
  <c r="M21" i="2021"/>
  <c r="AB21" i="2021"/>
  <c r="AD21" i="2021" s="1"/>
  <c r="M8" i="2021"/>
  <c r="AB8" i="2021"/>
  <c r="O21" i="2020"/>
  <c r="AD21" i="2020"/>
  <c r="AD17" i="2020"/>
  <c r="P16" i="2020"/>
  <c r="AC16" i="2020" s="1"/>
  <c r="K9" i="2020"/>
  <c r="Q28" i="2020"/>
  <c r="AB28" i="2020"/>
  <c r="AD7" i="2020"/>
  <c r="AD11" i="2020"/>
  <c r="AD15" i="2020"/>
  <c r="AD20" i="2020"/>
  <c r="AD16" i="2020"/>
  <c r="AD19" i="2020"/>
  <c r="AD6" i="2020"/>
  <c r="O8" i="2020"/>
  <c r="P9" i="2020"/>
  <c r="AC9" i="2020" s="1"/>
  <c r="AD9" i="2020" s="1"/>
  <c r="O13" i="2020"/>
  <c r="P18" i="2020"/>
  <c r="AC18" i="2020" s="1"/>
  <c r="AD18" i="2020" s="1"/>
  <c r="L28" i="2020"/>
  <c r="O28" i="2020" s="1"/>
  <c r="K28" i="2020"/>
  <c r="P8" i="2020"/>
  <c r="AC8" i="2020" s="1"/>
  <c r="AD8" i="2020" s="1"/>
  <c r="P13" i="2020"/>
  <c r="AC13" i="2020" s="1"/>
  <c r="M8" i="2020"/>
  <c r="M13" i="2020"/>
  <c r="AD18" i="2019"/>
  <c r="AD6" i="2019"/>
  <c r="L28" i="2019"/>
  <c r="O28" i="2019" s="1"/>
  <c r="Q28" i="2019"/>
  <c r="AD7" i="2019"/>
  <c r="AD9" i="2019"/>
  <c r="AD15" i="2019"/>
  <c r="AD12" i="2019"/>
  <c r="AD16" i="2019"/>
  <c r="AD20" i="2019"/>
  <c r="K28" i="2019"/>
  <c r="P8" i="2019"/>
  <c r="AC8" i="2019" s="1"/>
  <c r="M10" i="2019"/>
  <c r="AB10" i="2019"/>
  <c r="AD10" i="2019" s="1"/>
  <c r="M13" i="2019"/>
  <c r="AB13" i="2019"/>
  <c r="AD13" i="2019" s="1"/>
  <c r="M17" i="2019"/>
  <c r="AB17" i="2019"/>
  <c r="AD17" i="2019" s="1"/>
  <c r="P19" i="2019"/>
  <c r="AC19" i="2019" s="1"/>
  <c r="M21" i="2019"/>
  <c r="AB21" i="2019"/>
  <c r="AD21" i="2019" s="1"/>
  <c r="M8" i="2019"/>
  <c r="AB8" i="2019"/>
  <c r="M19" i="2019"/>
  <c r="AB19" i="2019"/>
  <c r="O20" i="2018"/>
  <c r="P20" i="2018"/>
  <c r="AC20" i="2018" s="1"/>
  <c r="O18" i="2018"/>
  <c r="P18" i="2018"/>
  <c r="AC18" i="2018" s="1"/>
  <c r="O13" i="2018"/>
  <c r="P8" i="2018"/>
  <c r="AC8" i="2018" s="1"/>
  <c r="AB8" i="2018"/>
  <c r="P9" i="2018"/>
  <c r="AC9" i="2018" s="1"/>
  <c r="AD9" i="2018" s="1"/>
  <c r="P13" i="2018"/>
  <c r="AC13" i="2018" s="1"/>
  <c r="AD19" i="2018"/>
  <c r="AD25" i="2018"/>
  <c r="AD28" i="2018"/>
  <c r="AD12" i="2018"/>
  <c r="AD15" i="2018"/>
  <c r="M8" i="2018"/>
  <c r="AD24" i="2018"/>
  <c r="AF70" i="2018"/>
  <c r="P11" i="2018"/>
  <c r="AC11" i="2018" s="1"/>
  <c r="K11" i="2018"/>
  <c r="Q29" i="2018"/>
  <c r="P7" i="2018"/>
  <c r="AC7" i="2018" s="1"/>
  <c r="AD8" i="2018"/>
  <c r="AD23" i="2018"/>
  <c r="AD14" i="2018"/>
  <c r="AD27" i="2018"/>
  <c r="AD26" i="2018"/>
  <c r="AD6" i="2018"/>
  <c r="M7" i="2018"/>
  <c r="AB7" i="2018"/>
  <c r="M11" i="2018"/>
  <c r="AB11" i="2018"/>
  <c r="M16" i="2018"/>
  <c r="AB16" i="2018"/>
  <c r="O17" i="2018"/>
  <c r="AD17" i="2018" s="1"/>
  <c r="M21" i="2018"/>
  <c r="AB21" i="2018"/>
  <c r="O22" i="2018"/>
  <c r="L29" i="2018"/>
  <c r="O29" i="2018" s="1"/>
  <c r="O7" i="2018"/>
  <c r="M10" i="2018"/>
  <c r="AB10" i="2018"/>
  <c r="AD10" i="2018" s="1"/>
  <c r="O11" i="2018"/>
  <c r="M13" i="2018"/>
  <c r="AB13" i="2018"/>
  <c r="AD13" i="2018" s="1"/>
  <c r="O16" i="2018"/>
  <c r="M20" i="2018"/>
  <c r="O21" i="2018"/>
  <c r="P22" i="2018"/>
  <c r="AC22" i="2018" s="1"/>
  <c r="K29" i="2018"/>
  <c r="M22" i="2018"/>
  <c r="O21" i="2017"/>
  <c r="AD21" i="2017" s="1"/>
  <c r="M19" i="2017"/>
  <c r="P13" i="2017"/>
  <c r="AC13" i="2017" s="1"/>
  <c r="P16" i="2017"/>
  <c r="AC16" i="2017" s="1"/>
  <c r="AD23" i="2017"/>
  <c r="AD13" i="2017"/>
  <c r="M13" i="2017"/>
  <c r="AD22" i="2017"/>
  <c r="AD19" i="2017"/>
  <c r="AD20" i="2017"/>
  <c r="AD25" i="2017"/>
  <c r="AD17" i="2017"/>
  <c r="AD18" i="2017"/>
  <c r="AF69" i="2017"/>
  <c r="M11" i="2017"/>
  <c r="P10" i="2017"/>
  <c r="AC10" i="2017" s="1"/>
  <c r="O10" i="2017"/>
  <c r="AD8" i="2017"/>
  <c r="Q28" i="2017"/>
  <c r="P27" i="2017"/>
  <c r="AC27" i="2017" s="1"/>
  <c r="AD27" i="2017" s="1"/>
  <c r="AD12" i="2017"/>
  <c r="AD14" i="2017"/>
  <c r="AD11" i="2017"/>
  <c r="AD26" i="2017"/>
  <c r="AD24" i="2017"/>
  <c r="AD6" i="2017"/>
  <c r="AC7" i="2017"/>
  <c r="AD7" i="2017" s="1"/>
  <c r="L28" i="2017"/>
  <c r="O28" i="2017" s="1"/>
  <c r="K28" i="2017"/>
  <c r="M9" i="2017"/>
  <c r="AB9" i="2017"/>
  <c r="AD9" i="2017" s="1"/>
  <c r="M16" i="2017"/>
  <c r="AB16" i="2017"/>
  <c r="AD16" i="2017" s="1"/>
  <c r="M19" i="2016"/>
  <c r="O19" i="2016"/>
  <c r="K19" i="2016"/>
  <c r="P19" i="2016"/>
  <c r="AC19" i="2016" s="1"/>
  <c r="AD19" i="2016" s="1"/>
  <c r="AD28" i="2027" l="1"/>
  <c r="AE27" i="2027" s="1"/>
  <c r="AE27" i="2026"/>
  <c r="AE25" i="2026"/>
  <c r="AE23" i="2026"/>
  <c r="AE21" i="2026"/>
  <c r="AE18" i="2026"/>
  <c r="AE12" i="2026"/>
  <c r="AE9" i="2026"/>
  <c r="AE22" i="2026"/>
  <c r="AE7" i="2026"/>
  <c r="AE17" i="2026"/>
  <c r="AE14" i="2026"/>
  <c r="AE8" i="2026"/>
  <c r="AE19" i="2026"/>
  <c r="AE15" i="2026"/>
  <c r="AE13" i="2026"/>
  <c r="AE10" i="2026"/>
  <c r="AE6" i="2026"/>
  <c r="AE20" i="2026"/>
  <c r="AE16" i="2026"/>
  <c r="AE11" i="2026"/>
  <c r="AE26" i="2026"/>
  <c r="AE24" i="2026"/>
  <c r="AD28" i="2025"/>
  <c r="AE18" i="2025" s="1"/>
  <c r="AD29" i="2024"/>
  <c r="AD28" i="2023"/>
  <c r="AD29" i="2022"/>
  <c r="AD8" i="2021"/>
  <c r="AD28" i="2021" s="1"/>
  <c r="AB28" i="2021"/>
  <c r="M28" i="2021"/>
  <c r="P28" i="2021"/>
  <c r="AC28" i="2021"/>
  <c r="M28" i="2020"/>
  <c r="AC28" i="2020"/>
  <c r="AD13" i="2020"/>
  <c r="AD28" i="2020" s="1"/>
  <c r="P28" i="2020"/>
  <c r="AC28" i="2019"/>
  <c r="M28" i="2019"/>
  <c r="AB28" i="2019"/>
  <c r="AD19" i="2019"/>
  <c r="AD8" i="2019"/>
  <c r="P28" i="2019"/>
  <c r="AD20" i="2018"/>
  <c r="AD18" i="2018"/>
  <c r="AD22" i="2018"/>
  <c r="AD11" i="2018"/>
  <c r="AD16" i="2018"/>
  <c r="AD7" i="2018"/>
  <c r="AB29" i="2018"/>
  <c r="M29" i="2018"/>
  <c r="P29" i="2018"/>
  <c r="AD21" i="2018"/>
  <c r="AC29" i="2018"/>
  <c r="M28" i="2017"/>
  <c r="AD10" i="2017"/>
  <c r="AB28" i="2017"/>
  <c r="P28" i="2017"/>
  <c r="AD28" i="2017"/>
  <c r="AC28" i="2017"/>
  <c r="L17" i="2016"/>
  <c r="L14" i="2016"/>
  <c r="L13" i="2016"/>
  <c r="L11" i="2016"/>
  <c r="K11" i="2016" s="1"/>
  <c r="L9" i="2016"/>
  <c r="L8" i="2016"/>
  <c r="L7" i="2016"/>
  <c r="L29" i="2016"/>
  <c r="AE11" i="2027" l="1"/>
  <c r="AE8" i="2027"/>
  <c r="AE26" i="2027"/>
  <c r="AE17" i="2027"/>
  <c r="AE21" i="2027"/>
  <c r="AE20" i="2027"/>
  <c r="AE10" i="2027"/>
  <c r="AE19" i="2027"/>
  <c r="AE6" i="2027"/>
  <c r="AE15" i="2027"/>
  <c r="AE22" i="2027"/>
  <c r="AE12" i="2027"/>
  <c r="AE7" i="2027"/>
  <c r="AE25" i="2027"/>
  <c r="AE13" i="2027"/>
  <c r="AE23" i="2027"/>
  <c r="AE9" i="2027"/>
  <c r="AE18" i="2027"/>
  <c r="AE24" i="2027"/>
  <c r="AE14" i="2027"/>
  <c r="AE16" i="2027"/>
  <c r="AE22" i="2025"/>
  <c r="AE23" i="2025"/>
  <c r="AE20" i="2025"/>
  <c r="AE12" i="2025"/>
  <c r="AE24" i="2025"/>
  <c r="AE8" i="2025"/>
  <c r="AE25" i="2025"/>
  <c r="AE6" i="2025"/>
  <c r="AE19" i="2025"/>
  <c r="AE13" i="2025"/>
  <c r="AE21" i="2025"/>
  <c r="AE16" i="2025"/>
  <c r="AE10" i="2025"/>
  <c r="AE9" i="2025"/>
  <c r="AE11" i="2025"/>
  <c r="AE7" i="2025"/>
  <c r="AE15" i="2025"/>
  <c r="AE26" i="2025"/>
  <c r="AE14" i="2025"/>
  <c r="AE17" i="2025"/>
  <c r="AE27" i="2025"/>
  <c r="AE26" i="2024"/>
  <c r="AE13" i="2024"/>
  <c r="AE28" i="2024"/>
  <c r="AE23" i="2024"/>
  <c r="AE25" i="2024"/>
  <c r="AE16" i="2024"/>
  <c r="AE19" i="2024"/>
  <c r="AE9" i="2024"/>
  <c r="AE10" i="2024"/>
  <c r="AE15" i="2024"/>
  <c r="AE14" i="2024"/>
  <c r="AE18" i="2024"/>
  <c r="AE22" i="2024"/>
  <c r="AE17" i="2024"/>
  <c r="AE27" i="2024"/>
  <c r="AE8" i="2024"/>
  <c r="AE7" i="2024"/>
  <c r="AE24" i="2024"/>
  <c r="AE21" i="2024"/>
  <c r="AE20" i="2024"/>
  <c r="AE6" i="2024"/>
  <c r="AE12" i="2024"/>
  <c r="AE11" i="2024"/>
  <c r="AE27" i="2023"/>
  <c r="AE25" i="2023"/>
  <c r="AE23" i="2023"/>
  <c r="AE21" i="2023"/>
  <c r="AE17" i="2023"/>
  <c r="AE15" i="2023"/>
  <c r="AE12" i="2023"/>
  <c r="AE9" i="2023"/>
  <c r="AE18" i="2023"/>
  <c r="AE13" i="2023"/>
  <c r="AE10" i="2023"/>
  <c r="AE6" i="2023"/>
  <c r="AE26" i="2023"/>
  <c r="AE24" i="2023"/>
  <c r="AE22" i="2023"/>
  <c r="AE19" i="2023"/>
  <c r="AE7" i="2023"/>
  <c r="AE20" i="2023"/>
  <c r="AE16" i="2023"/>
  <c r="AE14" i="2023"/>
  <c r="AE11" i="2023"/>
  <c r="AE8" i="2023"/>
  <c r="AE28" i="2022"/>
  <c r="AE16" i="2022"/>
  <c r="AE11" i="2022"/>
  <c r="AE25" i="2022"/>
  <c r="AE19" i="2022"/>
  <c r="AE7" i="2022"/>
  <c r="AE22" i="2022"/>
  <c r="AE23" i="2022"/>
  <c r="AE17" i="2022"/>
  <c r="AE9" i="2022"/>
  <c r="AE13" i="2022"/>
  <c r="AE24" i="2022"/>
  <c r="AE6" i="2022"/>
  <c r="AE18" i="2022"/>
  <c r="AE21" i="2022"/>
  <c r="AE15" i="2022"/>
  <c r="AE27" i="2022"/>
  <c r="AE26" i="2022"/>
  <c r="AE10" i="2022"/>
  <c r="AE8" i="2022"/>
  <c r="AE12" i="2022"/>
  <c r="AE20" i="2022"/>
  <c r="AE14" i="2022"/>
  <c r="AE21" i="2021"/>
  <c r="AE20" i="2021"/>
  <c r="AE22" i="2021"/>
  <c r="AE23" i="2021"/>
  <c r="AE26" i="2021"/>
  <c r="AE25" i="2021"/>
  <c r="AE9" i="2021"/>
  <c r="AE8" i="2021"/>
  <c r="AE16" i="2021"/>
  <c r="AE24" i="2021"/>
  <c r="AE12" i="2021"/>
  <c r="AE19" i="2021"/>
  <c r="AE6" i="2021"/>
  <c r="AE13" i="2021"/>
  <c r="AE27" i="2021"/>
  <c r="AE17" i="2021"/>
  <c r="AE14" i="2021"/>
  <c r="AE11" i="2021"/>
  <c r="AE15" i="2021"/>
  <c r="AE18" i="2021"/>
  <c r="AE7" i="2021"/>
  <c r="AE10" i="2021"/>
  <c r="AE27" i="2020"/>
  <c r="AE25" i="2020"/>
  <c r="AE23" i="2020"/>
  <c r="AE21" i="2020"/>
  <c r="AE19" i="2020"/>
  <c r="AE12" i="2020"/>
  <c r="AE10" i="2020"/>
  <c r="AE7" i="2020"/>
  <c r="AE17" i="2020"/>
  <c r="AE15" i="2020"/>
  <c r="AE13" i="2020"/>
  <c r="AE8" i="2020"/>
  <c r="AE26" i="2020"/>
  <c r="AE24" i="2020"/>
  <c r="AE22" i="2020"/>
  <c r="AE20" i="2020"/>
  <c r="AE18" i="2020"/>
  <c r="AE11" i="2020"/>
  <c r="AE9" i="2020"/>
  <c r="AE6" i="2020"/>
  <c r="AE16" i="2020"/>
  <c r="AE14" i="2020"/>
  <c r="AE27" i="2019"/>
  <c r="AD29" i="2018"/>
  <c r="AE18" i="2018" s="1"/>
  <c r="AE23" i="2018"/>
  <c r="AE20" i="2018"/>
  <c r="AE27" i="2017"/>
  <c r="AE20" i="2017"/>
  <c r="AE17" i="2017"/>
  <c r="AE12" i="2017"/>
  <c r="AE10" i="2017"/>
  <c r="AE7" i="2017"/>
  <c r="AE16" i="2017"/>
  <c r="AE24" i="2017"/>
  <c r="AE14" i="2017"/>
  <c r="AE6" i="2017"/>
  <c r="AE25" i="2017"/>
  <c r="AE23" i="2017"/>
  <c r="AE21" i="2017"/>
  <c r="AE18" i="2017"/>
  <c r="AE15" i="2017"/>
  <c r="AE13" i="2017"/>
  <c r="AE11" i="2017"/>
  <c r="AE8" i="2017"/>
  <c r="AE9" i="2017"/>
  <c r="AE26" i="2017"/>
  <c r="AE22" i="2017"/>
  <c r="AE19" i="2017"/>
  <c r="K29" i="2016"/>
  <c r="K23" i="2016"/>
  <c r="K22" i="2016"/>
  <c r="K21" i="2016"/>
  <c r="K20" i="2016"/>
  <c r="K14" i="2016"/>
  <c r="K13" i="2016"/>
  <c r="K12" i="2016"/>
  <c r="K9" i="2016"/>
  <c r="K8" i="2016"/>
  <c r="K7" i="2016"/>
  <c r="A85" i="2016"/>
  <c r="A86" i="2016" s="1"/>
  <c r="A87" i="2016" s="1"/>
  <c r="A88" i="2016" s="1"/>
  <c r="A89" i="2016" s="1"/>
  <c r="A90" i="2016" s="1"/>
  <c r="AF69" i="2016"/>
  <c r="AF71" i="2016" s="1"/>
  <c r="AF68" i="2016"/>
  <c r="AA30" i="2016"/>
  <c r="Z30" i="2016"/>
  <c r="Y30" i="2016"/>
  <c r="X30" i="2016"/>
  <c r="W30" i="2016"/>
  <c r="V30" i="2016"/>
  <c r="U30" i="2016"/>
  <c r="T30" i="2016"/>
  <c r="S30" i="2016"/>
  <c r="R30" i="2016"/>
  <c r="N30" i="2016"/>
  <c r="J30" i="2016"/>
  <c r="I30" i="2016"/>
  <c r="AF29" i="2016"/>
  <c r="AB29" i="2016"/>
  <c r="Q29" i="2016"/>
  <c r="P29" i="2016"/>
  <c r="AC29" i="2016" s="1"/>
  <c r="O29" i="2016"/>
  <c r="M29" i="2016"/>
  <c r="AF28" i="2016"/>
  <c r="AB28" i="2016"/>
  <c r="Q28" i="2016"/>
  <c r="P28" i="2016"/>
  <c r="AC28" i="2016" s="1"/>
  <c r="O28" i="2016"/>
  <c r="M28" i="2016"/>
  <c r="K28" i="2016"/>
  <c r="AF27" i="2016"/>
  <c r="AB27" i="2016"/>
  <c r="Q27" i="2016"/>
  <c r="P27" i="2016"/>
  <c r="AC27" i="2016" s="1"/>
  <c r="AD27" i="2016" s="1"/>
  <c r="O27" i="2016"/>
  <c r="M27" i="2016"/>
  <c r="K27" i="2016"/>
  <c r="AF26" i="2016"/>
  <c r="AB26" i="2016"/>
  <c r="Q26" i="2016"/>
  <c r="P26" i="2016"/>
  <c r="AC26" i="2016" s="1"/>
  <c r="O26" i="2016"/>
  <c r="M26" i="2016"/>
  <c r="K26" i="2016"/>
  <c r="AF25" i="2016"/>
  <c r="AB25" i="2016"/>
  <c r="Q25" i="2016"/>
  <c r="P25" i="2016"/>
  <c r="AC25" i="2016" s="1"/>
  <c r="O25" i="2016"/>
  <c r="M25" i="2016"/>
  <c r="K25" i="2016"/>
  <c r="AF24" i="2016"/>
  <c r="AC24" i="2016"/>
  <c r="AB24" i="2016"/>
  <c r="Q24" i="2016"/>
  <c r="P24" i="2016"/>
  <c r="O24" i="2016"/>
  <c r="M24" i="2016"/>
  <c r="K24" i="2016"/>
  <c r="AF23" i="2016"/>
  <c r="Q23" i="2016"/>
  <c r="AB23" i="2016"/>
  <c r="AF22" i="2016"/>
  <c r="Q22" i="2016"/>
  <c r="P22" i="2016" s="1"/>
  <c r="AC22" i="2016" s="1"/>
  <c r="O22" i="2016"/>
  <c r="AB22" i="2016"/>
  <c r="AF21" i="2016"/>
  <c r="AB21" i="2016"/>
  <c r="Q21" i="2016"/>
  <c r="P21" i="2016"/>
  <c r="AC21" i="2016" s="1"/>
  <c r="O21" i="2016"/>
  <c r="M21" i="2016"/>
  <c r="AF20" i="2016"/>
  <c r="Q20" i="2016"/>
  <c r="AB20" i="2016"/>
  <c r="AF18" i="2016"/>
  <c r="Q18" i="2016"/>
  <c r="P18" i="2016" s="1"/>
  <c r="AC18" i="2016" s="1"/>
  <c r="O18" i="2016"/>
  <c r="AB18" i="2016"/>
  <c r="AF17" i="2016"/>
  <c r="AB17" i="2016"/>
  <c r="Q17" i="2016"/>
  <c r="P17" i="2016" s="1"/>
  <c r="AC17" i="2016" s="1"/>
  <c r="O17" i="2016"/>
  <c r="M17" i="2016"/>
  <c r="K17" i="2016"/>
  <c r="AF16" i="2016"/>
  <c r="AB16" i="2016"/>
  <c r="Q16" i="2016"/>
  <c r="P16" i="2016"/>
  <c r="AC16" i="2016" s="1"/>
  <c r="O16" i="2016"/>
  <c r="M16" i="2016"/>
  <c r="K16" i="2016"/>
  <c r="AF15" i="2016"/>
  <c r="AB15" i="2016"/>
  <c r="Q15" i="2016"/>
  <c r="P15" i="2016"/>
  <c r="AC15" i="2016" s="1"/>
  <c r="AD15" i="2016" s="1"/>
  <c r="O15" i="2016"/>
  <c r="M15" i="2016"/>
  <c r="K15" i="2016"/>
  <c r="AF14" i="2016"/>
  <c r="Q14" i="2016"/>
  <c r="AB14" i="2016"/>
  <c r="AF13" i="2016"/>
  <c r="Q13" i="2016"/>
  <c r="P13" i="2016" s="1"/>
  <c r="AC13" i="2016" s="1"/>
  <c r="O13" i="2016"/>
  <c r="AB13" i="2016"/>
  <c r="AF12" i="2016"/>
  <c r="AB12" i="2016"/>
  <c r="Q12" i="2016"/>
  <c r="P12" i="2016" s="1"/>
  <c r="AC12" i="2016" s="1"/>
  <c r="O12" i="2016"/>
  <c r="M12" i="2016"/>
  <c r="AF11" i="2016"/>
  <c r="AB11" i="2016"/>
  <c r="Q11" i="2016"/>
  <c r="M11" i="2016"/>
  <c r="O11" i="2016"/>
  <c r="AF10" i="2016"/>
  <c r="AB10" i="2016"/>
  <c r="Q10" i="2016"/>
  <c r="P10" i="2016"/>
  <c r="AC10" i="2016" s="1"/>
  <c r="O10" i="2016"/>
  <c r="M10" i="2016"/>
  <c r="K10" i="2016"/>
  <c r="AF9" i="2016"/>
  <c r="AB9" i="2016"/>
  <c r="Q9" i="2016"/>
  <c r="P9" i="2016" s="1"/>
  <c r="AC9" i="2016" s="1"/>
  <c r="AD9" i="2016" s="1"/>
  <c r="O9" i="2016"/>
  <c r="M9" i="2016"/>
  <c r="AF8" i="2016"/>
  <c r="AB8" i="2016"/>
  <c r="Q8" i="2016"/>
  <c r="M8" i="2016"/>
  <c r="O8" i="2016"/>
  <c r="AF7" i="2016"/>
  <c r="Q7" i="2016"/>
  <c r="AB7" i="2016"/>
  <c r="AF6" i="2016"/>
  <c r="AB6" i="2016"/>
  <c r="Q6" i="2016"/>
  <c r="P6" i="2016"/>
  <c r="AC6" i="2016" s="1"/>
  <c r="O6" i="2016"/>
  <c r="M6" i="2016"/>
  <c r="K6" i="20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L21" i="2015"/>
  <c r="P21" i="2015" s="1"/>
  <c r="AC21" i="2015" s="1"/>
  <c r="L22" i="2015"/>
  <c r="M22" i="2015" s="1"/>
  <c r="L19" i="2015"/>
  <c r="L18" i="2015"/>
  <c r="K17" i="2015"/>
  <c r="L14" i="2015"/>
  <c r="L13" i="2015"/>
  <c r="M13" i="2015" s="1"/>
  <c r="L12" i="2015"/>
  <c r="O12" i="2015" s="1"/>
  <c r="AF12" i="2015"/>
  <c r="Q12" i="2015"/>
  <c r="AB12" i="2015"/>
  <c r="L11" i="2015"/>
  <c r="O11" i="2015" s="1"/>
  <c r="L9" i="2015"/>
  <c r="L8" i="2015"/>
  <c r="L7" i="2015"/>
  <c r="L28" i="2015"/>
  <c r="K28" i="2015" s="1"/>
  <c r="K20" i="2015"/>
  <c r="K19" i="2015"/>
  <c r="K18" i="2015"/>
  <c r="K14" i="2015"/>
  <c r="K13" i="2015"/>
  <c r="K9" i="2015"/>
  <c r="K8" i="2015"/>
  <c r="K7" i="2015"/>
  <c r="K6" i="2015"/>
  <c r="A84" i="2015"/>
  <c r="A85" i="2015" s="1"/>
  <c r="A86" i="2015" s="1"/>
  <c r="A87" i="2015" s="1"/>
  <c r="A88" i="2015" s="1"/>
  <c r="A89" i="2015" s="1"/>
  <c r="AF68" i="2015"/>
  <c r="AF67" i="2015"/>
  <c r="AF70" i="2015" s="1"/>
  <c r="AA29" i="2015"/>
  <c r="Z29" i="2015"/>
  <c r="Y29" i="2015"/>
  <c r="X29" i="2015"/>
  <c r="W29" i="2015"/>
  <c r="V29" i="2015"/>
  <c r="U29" i="2015"/>
  <c r="T29" i="2015"/>
  <c r="S29" i="2015"/>
  <c r="R29" i="2015"/>
  <c r="N29" i="2015"/>
  <c r="J29" i="2015"/>
  <c r="I29" i="2015"/>
  <c r="AF28" i="2015"/>
  <c r="Q28" i="2015"/>
  <c r="P28" i="2015"/>
  <c r="AC28" i="2015" s="1"/>
  <c r="AF27" i="2015"/>
  <c r="AB27" i="2015"/>
  <c r="Q27" i="2015"/>
  <c r="P27" i="2015"/>
  <c r="AC27" i="2015" s="1"/>
  <c r="AD27" i="2015" s="1"/>
  <c r="O27" i="2015"/>
  <c r="M27" i="2015"/>
  <c r="K27" i="2015"/>
  <c r="AF26" i="2015"/>
  <c r="AB26" i="2015"/>
  <c r="Q26" i="2015"/>
  <c r="P26" i="2015"/>
  <c r="AC26" i="2015" s="1"/>
  <c r="O26" i="2015"/>
  <c r="M26" i="2015"/>
  <c r="K26" i="2015"/>
  <c r="AF25" i="2015"/>
  <c r="AB25" i="2015"/>
  <c r="Q25" i="2015"/>
  <c r="P25" i="2015"/>
  <c r="AC25" i="2015" s="1"/>
  <c r="O25" i="2015"/>
  <c r="M25" i="2015"/>
  <c r="K25" i="2015"/>
  <c r="AF24" i="2015"/>
  <c r="AB24" i="2015"/>
  <c r="Q24" i="2015"/>
  <c r="P24" i="2015"/>
  <c r="AC24" i="2015" s="1"/>
  <c r="O24" i="2015"/>
  <c r="M24" i="2015"/>
  <c r="K24" i="2015"/>
  <c r="AF23" i="2015"/>
  <c r="AB23" i="2015"/>
  <c r="Q23" i="2015"/>
  <c r="P23" i="2015"/>
  <c r="AC23" i="2015" s="1"/>
  <c r="AD23" i="2015" s="1"/>
  <c r="O23" i="2015"/>
  <c r="M23" i="2015"/>
  <c r="K23" i="2015"/>
  <c r="AF22" i="2015"/>
  <c r="Q22" i="2015"/>
  <c r="AB22" i="2015"/>
  <c r="AF21" i="2015"/>
  <c r="Q21" i="2015"/>
  <c r="AF20" i="2015"/>
  <c r="AB20" i="2015"/>
  <c r="Q20" i="2015"/>
  <c r="P20" i="2015" s="1"/>
  <c r="AC20" i="2015" s="1"/>
  <c r="O20" i="2015"/>
  <c r="M20" i="2015"/>
  <c r="AF19" i="2015"/>
  <c r="AB19" i="2015"/>
  <c r="Q19" i="2015"/>
  <c r="P19" i="2015" s="1"/>
  <c r="AC19" i="2015" s="1"/>
  <c r="O19" i="2015"/>
  <c r="M19" i="2015"/>
  <c r="AF18" i="2015"/>
  <c r="AB18" i="2015"/>
  <c r="Q18" i="2015"/>
  <c r="M18" i="2015"/>
  <c r="P18" i="2015"/>
  <c r="AC18" i="2015" s="1"/>
  <c r="AF17" i="2015"/>
  <c r="Q17" i="2015"/>
  <c r="P17" i="2015"/>
  <c r="AC17" i="2015" s="1"/>
  <c r="AF16" i="2015"/>
  <c r="AB16" i="2015"/>
  <c r="Q16" i="2015"/>
  <c r="P16" i="2015"/>
  <c r="AC16" i="2015" s="1"/>
  <c r="O16" i="2015"/>
  <c r="M16" i="2015"/>
  <c r="K16" i="2015"/>
  <c r="AF15" i="2015"/>
  <c r="AB15" i="2015"/>
  <c r="Q15" i="2015"/>
  <c r="P15" i="2015"/>
  <c r="AC15" i="2015" s="1"/>
  <c r="O15" i="2015"/>
  <c r="M15" i="2015"/>
  <c r="K15" i="2015"/>
  <c r="AF14" i="2015"/>
  <c r="AB14" i="2015"/>
  <c r="Q14" i="2015"/>
  <c r="P14" i="2015"/>
  <c r="AC14" i="2015" s="1"/>
  <c r="O14" i="2015"/>
  <c r="M14" i="2015"/>
  <c r="AF13" i="2015"/>
  <c r="Q13" i="2015"/>
  <c r="O13" i="2015"/>
  <c r="AF11" i="2015"/>
  <c r="Q11" i="2015"/>
  <c r="AF10" i="2015"/>
  <c r="AB10" i="2015"/>
  <c r="Q10" i="2015"/>
  <c r="P10" i="2015"/>
  <c r="AC10" i="2015" s="1"/>
  <c r="O10" i="2015"/>
  <c r="M10" i="2015"/>
  <c r="K10" i="2015"/>
  <c r="AF9" i="2015"/>
  <c r="AB9" i="2015"/>
  <c r="Q9" i="2015"/>
  <c r="P9" i="2015" s="1"/>
  <c r="AC9" i="2015" s="1"/>
  <c r="M9" i="2015"/>
  <c r="AF8" i="2015"/>
  <c r="Q8" i="2015"/>
  <c r="P8" i="2015" s="1"/>
  <c r="AC8" i="2015" s="1"/>
  <c r="AF7" i="2015"/>
  <c r="AB7" i="2015"/>
  <c r="Q7" i="2015"/>
  <c r="O7" i="2015"/>
  <c r="M7" i="2015"/>
  <c r="AF6" i="2015"/>
  <c r="AB6" i="2015"/>
  <c r="Q6" i="2015"/>
  <c r="O6" i="2015"/>
  <c r="M6" i="2015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L21" i="2014"/>
  <c r="L20" i="2014"/>
  <c r="P20" i="2014" s="1"/>
  <c r="AC20" i="2014" s="1"/>
  <c r="L19" i="2014"/>
  <c r="O19" i="2014" s="1"/>
  <c r="L18" i="2014"/>
  <c r="L17" i="2014"/>
  <c r="L16" i="2014"/>
  <c r="K16" i="2014"/>
  <c r="L13" i="2014"/>
  <c r="L12" i="2014"/>
  <c r="K11" i="2014"/>
  <c r="L9" i="2014"/>
  <c r="L8" i="2014"/>
  <c r="L7" i="2014"/>
  <c r="K7" i="2014"/>
  <c r="K6" i="2014"/>
  <c r="L27" i="2014"/>
  <c r="K27" i="2014" s="1"/>
  <c r="K21" i="2014"/>
  <c r="K20" i="2014"/>
  <c r="K18" i="2014"/>
  <c r="K17" i="2014"/>
  <c r="K13" i="2014"/>
  <c r="K9" i="2014"/>
  <c r="K8" i="2014"/>
  <c r="A83" i="2014"/>
  <c r="A84" i="2014" s="1"/>
  <c r="A85" i="2014" s="1"/>
  <c r="A86" i="2014" s="1"/>
  <c r="A87" i="2014" s="1"/>
  <c r="A88" i="2014" s="1"/>
  <c r="AF67" i="2014"/>
  <c r="AF66" i="2014"/>
  <c r="AF69" i="2014" s="1"/>
  <c r="AA28" i="2014"/>
  <c r="Z28" i="2014"/>
  <c r="Y28" i="2014"/>
  <c r="X28" i="2014"/>
  <c r="W28" i="2014"/>
  <c r="V28" i="2014"/>
  <c r="U28" i="2014"/>
  <c r="T28" i="2014"/>
  <c r="S28" i="2014"/>
  <c r="R28" i="2014"/>
  <c r="N28" i="2014"/>
  <c r="J28" i="2014"/>
  <c r="I28" i="2014"/>
  <c r="AF27" i="2014"/>
  <c r="Q27" i="2014"/>
  <c r="O27" i="2014"/>
  <c r="AF26" i="2014"/>
  <c r="AC26" i="2014"/>
  <c r="AB26" i="2014"/>
  <c r="Q26" i="2014"/>
  <c r="P26" i="2014"/>
  <c r="O26" i="2014"/>
  <c r="M26" i="2014"/>
  <c r="K26" i="2014"/>
  <c r="AF25" i="2014"/>
  <c r="AB25" i="2014"/>
  <c r="Q25" i="2014"/>
  <c r="P25" i="2014"/>
  <c r="AC25" i="2014" s="1"/>
  <c r="AD25" i="2014" s="1"/>
  <c r="O25" i="2014"/>
  <c r="M25" i="2014"/>
  <c r="K25" i="2014"/>
  <c r="AF24" i="2014"/>
  <c r="AB24" i="2014"/>
  <c r="Q24" i="2014"/>
  <c r="P24" i="2014"/>
  <c r="AC24" i="2014" s="1"/>
  <c r="AD24" i="2014" s="1"/>
  <c r="O24" i="2014"/>
  <c r="M24" i="2014"/>
  <c r="K24" i="2014"/>
  <c r="AF23" i="2014"/>
  <c r="AB23" i="2014"/>
  <c r="Q23" i="2014"/>
  <c r="P23" i="2014"/>
  <c r="AC23" i="2014" s="1"/>
  <c r="O23" i="2014"/>
  <c r="M23" i="2014"/>
  <c r="K23" i="2014"/>
  <c r="AF22" i="2014"/>
  <c r="AC22" i="2014"/>
  <c r="AD22" i="2014" s="1"/>
  <c r="AB22" i="2014"/>
  <c r="Q22" i="2014"/>
  <c r="P22" i="2014"/>
  <c r="O22" i="2014"/>
  <c r="M22" i="2014"/>
  <c r="K22" i="2014"/>
  <c r="AF21" i="2014"/>
  <c r="Q21" i="2014"/>
  <c r="AB21" i="2014"/>
  <c r="AF20" i="2014"/>
  <c r="Q20" i="2014"/>
  <c r="O20" i="2014"/>
  <c r="AF19" i="2014"/>
  <c r="Q19" i="2014"/>
  <c r="AF18" i="2014"/>
  <c r="AB18" i="2014"/>
  <c r="Q18" i="2014"/>
  <c r="O18" i="2014"/>
  <c r="M18" i="2014"/>
  <c r="P18" i="2014"/>
  <c r="AC18" i="2014" s="1"/>
  <c r="AF17" i="2014"/>
  <c r="Q17" i="2014"/>
  <c r="AB17" i="2014"/>
  <c r="AF16" i="2014"/>
  <c r="Q16" i="2014"/>
  <c r="P16" i="2014" s="1"/>
  <c r="AC16" i="2014" s="1"/>
  <c r="O16" i="2014"/>
  <c r="AF15" i="2014"/>
  <c r="AC15" i="2014"/>
  <c r="AB15" i="2014"/>
  <c r="Q15" i="2014"/>
  <c r="P15" i="2014"/>
  <c r="O15" i="2014"/>
  <c r="M15" i="2014"/>
  <c r="K15" i="2014"/>
  <c r="AF14" i="2014"/>
  <c r="AC14" i="2014"/>
  <c r="AB14" i="2014"/>
  <c r="Q14" i="2014"/>
  <c r="P14" i="2014"/>
  <c r="O14" i="2014"/>
  <c r="M14" i="2014"/>
  <c r="K14" i="2014"/>
  <c r="AF13" i="2014"/>
  <c r="Q13" i="2014"/>
  <c r="O13" i="2014"/>
  <c r="P13" i="2014"/>
  <c r="AC13" i="2014" s="1"/>
  <c r="AF12" i="2014"/>
  <c r="AB12" i="2014"/>
  <c r="Q12" i="2014"/>
  <c r="P12" i="2014" s="1"/>
  <c r="AC12" i="2014" s="1"/>
  <c r="O12" i="2014"/>
  <c r="M12" i="2014"/>
  <c r="K12" i="2014"/>
  <c r="AF11" i="2014"/>
  <c r="AB11" i="2014"/>
  <c r="Q11" i="2014"/>
  <c r="P11" i="2014"/>
  <c r="AC11" i="2014" s="1"/>
  <c r="M11" i="2014"/>
  <c r="O11" i="2014"/>
  <c r="AF10" i="2014"/>
  <c r="AC10" i="2014"/>
  <c r="AB10" i="2014"/>
  <c r="Q10" i="2014"/>
  <c r="P10" i="2014"/>
  <c r="O10" i="2014"/>
  <c r="M10" i="2014"/>
  <c r="K10" i="2014"/>
  <c r="AF9" i="2014"/>
  <c r="Q9" i="2014"/>
  <c r="AB9" i="2014"/>
  <c r="AF8" i="2014"/>
  <c r="AB8" i="2014"/>
  <c r="Q8" i="2014"/>
  <c r="P8" i="2014" s="1"/>
  <c r="AC8" i="2014" s="1"/>
  <c r="M8" i="2014"/>
  <c r="O8" i="2014"/>
  <c r="AF7" i="2014"/>
  <c r="AB7" i="2014"/>
  <c r="Q7" i="2014"/>
  <c r="P7" i="2014"/>
  <c r="AC7" i="2014" s="1"/>
  <c r="O7" i="2014"/>
  <c r="M7" i="2014"/>
  <c r="AF6" i="2014"/>
  <c r="AB6" i="2014"/>
  <c r="Q6" i="2014"/>
  <c r="P6" i="2014" s="1"/>
  <c r="AC6" i="2014" s="1"/>
  <c r="O6" i="2014"/>
  <c r="M6" i="2014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L21" i="2013"/>
  <c r="L20" i="2013"/>
  <c r="L19" i="2013"/>
  <c r="O19" i="2013" s="1"/>
  <c r="L18" i="2013"/>
  <c r="L17" i="2013"/>
  <c r="K17" i="2013" s="1"/>
  <c r="L16" i="2013"/>
  <c r="K16" i="2013" s="1"/>
  <c r="L13" i="2013"/>
  <c r="P13" i="2013" s="1"/>
  <c r="AC13" i="2013" s="1"/>
  <c r="K12" i="2013"/>
  <c r="L11" i="2013"/>
  <c r="K11" i="2013" s="1"/>
  <c r="L9" i="2013"/>
  <c r="L8" i="2013"/>
  <c r="K8" i="2013" s="1"/>
  <c r="L27" i="2013"/>
  <c r="K27" i="2013" s="1"/>
  <c r="K20" i="2013"/>
  <c r="K9" i="2013"/>
  <c r="K6" i="2013"/>
  <c r="A83" i="2013"/>
  <c r="A84" i="2013" s="1"/>
  <c r="A85" i="2013" s="1"/>
  <c r="A86" i="2013" s="1"/>
  <c r="A87" i="2013" s="1"/>
  <c r="A88" i="2013" s="1"/>
  <c r="AF67" i="2013"/>
  <c r="AF69" i="2013" s="1"/>
  <c r="AF66" i="2013"/>
  <c r="AA28" i="2013"/>
  <c r="Z28" i="2013"/>
  <c r="Y28" i="2013"/>
  <c r="X28" i="2013"/>
  <c r="W28" i="2013"/>
  <c r="V28" i="2013"/>
  <c r="U28" i="2013"/>
  <c r="T28" i="2013"/>
  <c r="S28" i="2013"/>
  <c r="R28" i="2013"/>
  <c r="N28" i="2013"/>
  <c r="J28" i="2013"/>
  <c r="I28" i="2013"/>
  <c r="AF27" i="2013"/>
  <c r="AB27" i="2013"/>
  <c r="Q27" i="2013"/>
  <c r="P27" i="2013" s="1"/>
  <c r="AC27" i="2013" s="1"/>
  <c r="O27" i="2013"/>
  <c r="M27" i="2013"/>
  <c r="AF26" i="2013"/>
  <c r="AB26" i="2013"/>
  <c r="Q26" i="2013"/>
  <c r="P26" i="2013"/>
  <c r="AC26" i="2013" s="1"/>
  <c r="AD26" i="2013" s="1"/>
  <c r="O26" i="2013"/>
  <c r="M26" i="2013"/>
  <c r="K26" i="2013"/>
  <c r="AF25" i="2013"/>
  <c r="AC25" i="2013"/>
  <c r="AD25" i="2013" s="1"/>
  <c r="AB25" i="2013"/>
  <c r="Q25" i="2013"/>
  <c r="P25" i="2013"/>
  <c r="O25" i="2013"/>
  <c r="M25" i="2013"/>
  <c r="K25" i="2013"/>
  <c r="AF24" i="2013"/>
  <c r="AC24" i="2013"/>
  <c r="AD24" i="2013" s="1"/>
  <c r="AB24" i="2013"/>
  <c r="Q24" i="2013"/>
  <c r="P24" i="2013"/>
  <c r="O24" i="2013"/>
  <c r="M24" i="2013"/>
  <c r="K24" i="2013"/>
  <c r="AF23" i="2013"/>
  <c r="AC23" i="2013"/>
  <c r="AD23" i="2013" s="1"/>
  <c r="AB23" i="2013"/>
  <c r="Q23" i="2013"/>
  <c r="P23" i="2013"/>
  <c r="O23" i="2013"/>
  <c r="M23" i="2013"/>
  <c r="K23" i="2013"/>
  <c r="AF22" i="2013"/>
  <c r="AC22" i="2013"/>
  <c r="AD22" i="2013" s="1"/>
  <c r="AB22" i="2013"/>
  <c r="Q22" i="2013"/>
  <c r="P22" i="2013"/>
  <c r="O22" i="2013"/>
  <c r="M22" i="2013"/>
  <c r="K22" i="2013"/>
  <c r="AF21" i="2013"/>
  <c r="AB21" i="2013"/>
  <c r="Q21" i="2013"/>
  <c r="P21" i="2013"/>
  <c r="AC21" i="2013" s="1"/>
  <c r="O21" i="2013"/>
  <c r="M21" i="2013"/>
  <c r="K21" i="2013"/>
  <c r="AF20" i="2013"/>
  <c r="Q20" i="2013"/>
  <c r="O20" i="2013"/>
  <c r="AF19" i="2013"/>
  <c r="Q19" i="2013"/>
  <c r="AF18" i="2013"/>
  <c r="Q18" i="2013"/>
  <c r="O18" i="2013"/>
  <c r="AF17" i="2013"/>
  <c r="AB17" i="2013"/>
  <c r="Q17" i="2013"/>
  <c r="P17" i="2013"/>
  <c r="AC17" i="2013" s="1"/>
  <c r="M17" i="2013"/>
  <c r="O17" i="2013"/>
  <c r="AF16" i="2013"/>
  <c r="Q16" i="2013"/>
  <c r="AB16" i="2013"/>
  <c r="AF15" i="2013"/>
  <c r="AB15" i="2013"/>
  <c r="Q15" i="2013"/>
  <c r="P15" i="2013"/>
  <c r="AC15" i="2013" s="1"/>
  <c r="O15" i="2013"/>
  <c r="M15" i="2013"/>
  <c r="K15" i="2013"/>
  <c r="AF14" i="2013"/>
  <c r="AB14" i="2013"/>
  <c r="Q14" i="2013"/>
  <c r="P14" i="2013"/>
  <c r="AC14" i="2013" s="1"/>
  <c r="AD14" i="2013" s="1"/>
  <c r="O14" i="2013"/>
  <c r="M14" i="2013"/>
  <c r="K14" i="2013"/>
  <c r="AF13" i="2013"/>
  <c r="Q13" i="2013"/>
  <c r="AF12" i="2013"/>
  <c r="Q12" i="2013"/>
  <c r="O12" i="2013"/>
  <c r="P12" i="2013"/>
  <c r="AC12" i="2013" s="1"/>
  <c r="AF11" i="2013"/>
  <c r="AB11" i="2013"/>
  <c r="Q11" i="2013"/>
  <c r="P11" i="2013"/>
  <c r="AC11" i="2013" s="1"/>
  <c r="M11" i="2013"/>
  <c r="O11" i="2013"/>
  <c r="AF10" i="2013"/>
  <c r="AC10" i="2013"/>
  <c r="AB10" i="2013"/>
  <c r="Q10" i="2013"/>
  <c r="P10" i="2013"/>
  <c r="O10" i="2013"/>
  <c r="M10" i="2013"/>
  <c r="K10" i="2013"/>
  <c r="AF9" i="2013"/>
  <c r="Q9" i="2013"/>
  <c r="P9" i="2013" s="1"/>
  <c r="AC9" i="2013" s="1"/>
  <c r="O9" i="2013"/>
  <c r="AF8" i="2013"/>
  <c r="AB8" i="2013"/>
  <c r="Q8" i="2013"/>
  <c r="P8" i="2013"/>
  <c r="AC8" i="2013" s="1"/>
  <c r="M8" i="2013"/>
  <c r="O8" i="2013"/>
  <c r="AF7" i="2013"/>
  <c r="AB7" i="2013"/>
  <c r="Q7" i="2013"/>
  <c r="P7" i="2013"/>
  <c r="AC7" i="2013" s="1"/>
  <c r="O7" i="2013"/>
  <c r="M7" i="2013"/>
  <c r="K7" i="2013"/>
  <c r="AF6" i="2013"/>
  <c r="Q6" i="2013"/>
  <c r="O6" i="2013"/>
  <c r="P6" i="2013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L20" i="2012"/>
  <c r="L19" i="2012"/>
  <c r="O19" i="2012" s="1"/>
  <c r="L18" i="2012"/>
  <c r="K18" i="2012" s="1"/>
  <c r="L17" i="2012"/>
  <c r="AB17" i="2012" s="1"/>
  <c r="L16" i="2012"/>
  <c r="O16" i="2012" s="1"/>
  <c r="L13" i="2012"/>
  <c r="L12" i="2012"/>
  <c r="K12" i="2012" s="1"/>
  <c r="L11" i="2012"/>
  <c r="AB11" i="2012" s="1"/>
  <c r="L9" i="2012"/>
  <c r="L8" i="2012"/>
  <c r="K8" i="2012" s="1"/>
  <c r="L6" i="2012"/>
  <c r="K21" i="2012"/>
  <c r="K20" i="2012"/>
  <c r="K11" i="2012"/>
  <c r="K7" i="2012"/>
  <c r="K6" i="2012"/>
  <c r="A83" i="2012"/>
  <c r="A84" i="2012" s="1"/>
  <c r="A85" i="2012" s="1"/>
  <c r="A86" i="2012" s="1"/>
  <c r="A87" i="2012" s="1"/>
  <c r="A88" i="2012" s="1"/>
  <c r="AF67" i="2012"/>
  <c r="AF66" i="2012"/>
  <c r="AA28" i="2012"/>
  <c r="Z28" i="2012"/>
  <c r="Y28" i="2012"/>
  <c r="X28" i="2012"/>
  <c r="W28" i="2012"/>
  <c r="V28" i="2012"/>
  <c r="U28" i="2012"/>
  <c r="T28" i="2012"/>
  <c r="S28" i="2012"/>
  <c r="R28" i="2012"/>
  <c r="N28" i="2012"/>
  <c r="J28" i="2012"/>
  <c r="I28" i="2012"/>
  <c r="AF27" i="2012"/>
  <c r="AB27" i="2012"/>
  <c r="Q27" i="2012"/>
  <c r="P27" i="2012"/>
  <c r="AC27" i="2012" s="1"/>
  <c r="O27" i="2012"/>
  <c r="M27" i="2012"/>
  <c r="K27" i="2012"/>
  <c r="AF26" i="2012"/>
  <c r="AB26" i="2012"/>
  <c r="Q26" i="2012"/>
  <c r="P26" i="2012"/>
  <c r="AC26" i="2012" s="1"/>
  <c r="O26" i="2012"/>
  <c r="M26" i="2012"/>
  <c r="K26" i="2012"/>
  <c r="AF25" i="2012"/>
  <c r="AB25" i="2012"/>
  <c r="Q25" i="2012"/>
  <c r="P25" i="2012"/>
  <c r="AC25" i="2012" s="1"/>
  <c r="AD25" i="2012" s="1"/>
  <c r="O25" i="2012"/>
  <c r="M25" i="2012"/>
  <c r="K25" i="2012"/>
  <c r="AF24" i="2012"/>
  <c r="AB24" i="2012"/>
  <c r="Q24" i="2012"/>
  <c r="P24" i="2012"/>
  <c r="AC24" i="2012" s="1"/>
  <c r="O24" i="2012"/>
  <c r="M24" i="2012"/>
  <c r="K24" i="2012"/>
  <c r="AF23" i="2012"/>
  <c r="AB23" i="2012"/>
  <c r="Q23" i="2012"/>
  <c r="P23" i="2012"/>
  <c r="AC23" i="2012" s="1"/>
  <c r="O23" i="2012"/>
  <c r="M23" i="2012"/>
  <c r="K23" i="2012"/>
  <c r="AF22" i="2012"/>
  <c r="AB22" i="2012"/>
  <c r="Q22" i="2012"/>
  <c r="P22" i="2012"/>
  <c r="AC22" i="2012" s="1"/>
  <c r="O22" i="2012"/>
  <c r="M22" i="2012"/>
  <c r="K22" i="2012"/>
  <c r="AF21" i="2012"/>
  <c r="AB21" i="2012"/>
  <c r="Q21" i="2012"/>
  <c r="M21" i="2012"/>
  <c r="P21" i="2012"/>
  <c r="AC21" i="2012" s="1"/>
  <c r="AF20" i="2012"/>
  <c r="Q20" i="2012"/>
  <c r="AF19" i="2012"/>
  <c r="Q19" i="2012"/>
  <c r="AF18" i="2012"/>
  <c r="AB18" i="2012"/>
  <c r="Q18" i="2012"/>
  <c r="O18" i="2012"/>
  <c r="M18" i="2012"/>
  <c r="AF17" i="2012"/>
  <c r="Q17" i="2012"/>
  <c r="O17" i="2012"/>
  <c r="M17" i="2012"/>
  <c r="AF16" i="2012"/>
  <c r="AB16" i="2012"/>
  <c r="Q16" i="2012"/>
  <c r="P16" i="2012" s="1"/>
  <c r="AC16" i="2012" s="1"/>
  <c r="AF15" i="2012"/>
  <c r="AB15" i="2012"/>
  <c r="Q15" i="2012"/>
  <c r="P15" i="2012"/>
  <c r="AC15" i="2012" s="1"/>
  <c r="O15" i="2012"/>
  <c r="M15" i="2012"/>
  <c r="K15" i="2012"/>
  <c r="AF14" i="2012"/>
  <c r="AB14" i="2012"/>
  <c r="Q14" i="2012"/>
  <c r="P14" i="2012"/>
  <c r="AC14" i="2012" s="1"/>
  <c r="O14" i="2012"/>
  <c r="M14" i="2012"/>
  <c r="K14" i="2012"/>
  <c r="AF13" i="2012"/>
  <c r="Q13" i="2012"/>
  <c r="AF12" i="2012"/>
  <c r="Q12" i="2012"/>
  <c r="P12" i="2012" s="1"/>
  <c r="AC12" i="2012" s="1"/>
  <c r="O12" i="2012"/>
  <c r="AF11" i="2012"/>
  <c r="Q11" i="2012"/>
  <c r="P11" i="2012"/>
  <c r="AC11" i="2012" s="1"/>
  <c r="AF10" i="2012"/>
  <c r="AB10" i="2012"/>
  <c r="Q10" i="2012"/>
  <c r="P10" i="2012"/>
  <c r="AC10" i="2012" s="1"/>
  <c r="O10" i="2012"/>
  <c r="M10" i="2012"/>
  <c r="K10" i="2012"/>
  <c r="AF9" i="2012"/>
  <c r="Q9" i="2012"/>
  <c r="O9" i="2012"/>
  <c r="AF8" i="2012"/>
  <c r="AB8" i="2012"/>
  <c r="Q8" i="2012"/>
  <c r="M8" i="2012"/>
  <c r="AF7" i="2012"/>
  <c r="AB7" i="2012"/>
  <c r="Q7" i="2012"/>
  <c r="O7" i="2012"/>
  <c r="M7" i="2012"/>
  <c r="P7" i="2012"/>
  <c r="AC7" i="2012" s="1"/>
  <c r="AF6" i="2012"/>
  <c r="AB6" i="2012"/>
  <c r="Q6" i="2012"/>
  <c r="P6" i="2012" s="1"/>
  <c r="AC6" i="2012" s="1"/>
  <c r="O6" i="2012"/>
  <c r="M6" i="2012"/>
  <c r="AE8" i="2019" l="1"/>
  <c r="AE24" i="2019"/>
  <c r="AE16" i="2019"/>
  <c r="AE13" i="2019"/>
  <c r="AE23" i="2019"/>
  <c r="AE20" i="2019"/>
  <c r="AE11" i="2019"/>
  <c r="AE21" i="2019"/>
  <c r="AE9" i="2019"/>
  <c r="AE14" i="2019"/>
  <c r="AE26" i="2019"/>
  <c r="AE18" i="2019"/>
  <c r="AE15" i="2019"/>
  <c r="AE25" i="2019"/>
  <c r="AE22" i="2019"/>
  <c r="AE10" i="2019"/>
  <c r="AE12" i="2019"/>
  <c r="AE19" i="2019"/>
  <c r="AE7" i="2019"/>
  <c r="AE6" i="2019"/>
  <c r="AE17" i="2019"/>
  <c r="AE6" i="2018"/>
  <c r="AE8" i="2018"/>
  <c r="AE10" i="2018"/>
  <c r="AE14" i="2018"/>
  <c r="AE13" i="2018"/>
  <c r="AE9" i="2018"/>
  <c r="AE24" i="2018"/>
  <c r="AE11" i="2018"/>
  <c r="AE15" i="2018"/>
  <c r="AE12" i="2018"/>
  <c r="AE26" i="2018"/>
  <c r="AE27" i="2018"/>
  <c r="AE19" i="2018"/>
  <c r="AE17" i="2018"/>
  <c r="AE16" i="2018"/>
  <c r="AE25" i="2018"/>
  <c r="AE7" i="2018"/>
  <c r="AE22" i="2018"/>
  <c r="AE21" i="2018"/>
  <c r="AE28" i="2018"/>
  <c r="AD22" i="2016"/>
  <c r="AD24" i="2016"/>
  <c r="AD26" i="2016"/>
  <c r="AD17" i="2016"/>
  <c r="Q30" i="2016"/>
  <c r="AD10" i="2016"/>
  <c r="AD18" i="2016"/>
  <c r="AD25" i="2016"/>
  <c r="AD12" i="2016"/>
  <c r="AD13" i="2016"/>
  <c r="AD28" i="2016"/>
  <c r="AD29" i="2016"/>
  <c r="AD21" i="2016"/>
  <c r="AD16" i="2016"/>
  <c r="AD6" i="2016"/>
  <c r="AB30" i="2016"/>
  <c r="O7" i="2016"/>
  <c r="P8" i="2016"/>
  <c r="AC8" i="2016" s="1"/>
  <c r="AD8" i="2016" s="1"/>
  <c r="P11" i="2016"/>
  <c r="AC11" i="2016" s="1"/>
  <c r="AD11" i="2016" s="1"/>
  <c r="M13" i="2016"/>
  <c r="O14" i="2016"/>
  <c r="M18" i="2016"/>
  <c r="O20" i="2016"/>
  <c r="M22" i="2016"/>
  <c r="O23" i="2016"/>
  <c r="L30" i="2016"/>
  <c r="O30" i="2016" s="1"/>
  <c r="K30" i="2016"/>
  <c r="P7" i="2016"/>
  <c r="AC7" i="2016" s="1"/>
  <c r="P14" i="2016"/>
  <c r="AC14" i="2016" s="1"/>
  <c r="AD14" i="2016" s="1"/>
  <c r="P20" i="2016"/>
  <c r="AC20" i="2016" s="1"/>
  <c r="AD20" i="2016" s="1"/>
  <c r="P23" i="2016"/>
  <c r="AC23" i="2016" s="1"/>
  <c r="M7" i="2016"/>
  <c r="M14" i="2016"/>
  <c r="M20" i="2016"/>
  <c r="M23" i="2016"/>
  <c r="K22" i="2015"/>
  <c r="AD14" i="2015"/>
  <c r="P13" i="2015"/>
  <c r="AC13" i="2015" s="1"/>
  <c r="AB13" i="2015"/>
  <c r="L29" i="2015"/>
  <c r="O29" i="2015" s="1"/>
  <c r="P7" i="2015"/>
  <c r="AC7" i="2015" s="1"/>
  <c r="K12" i="2015"/>
  <c r="P12" i="2015"/>
  <c r="AC12" i="2015" s="1"/>
  <c r="AD12" i="2015" s="1"/>
  <c r="Q29" i="2015"/>
  <c r="P11" i="2015"/>
  <c r="AC11" i="2015" s="1"/>
  <c r="M12" i="2015"/>
  <c r="K11" i="2015"/>
  <c r="M11" i="2015"/>
  <c r="AB11" i="2015"/>
  <c r="AD11" i="2015" s="1"/>
  <c r="AD10" i="2015"/>
  <c r="AD7" i="2015"/>
  <c r="AD16" i="2015"/>
  <c r="AD19" i="2015"/>
  <c r="AD20" i="2015"/>
  <c r="AD25" i="2015"/>
  <c r="AD26" i="2015"/>
  <c r="AD15" i="2015"/>
  <c r="AD24" i="2015"/>
  <c r="P6" i="2015"/>
  <c r="M8" i="2015"/>
  <c r="AB8" i="2015"/>
  <c r="O9" i="2015"/>
  <c r="AD9" i="2015" s="1"/>
  <c r="M17" i="2015"/>
  <c r="AB17" i="2015"/>
  <c r="O18" i="2015"/>
  <c r="AD18" i="2015" s="1"/>
  <c r="M21" i="2015"/>
  <c r="AB21" i="2015"/>
  <c r="O22" i="2015"/>
  <c r="M28" i="2015"/>
  <c r="AB28" i="2015"/>
  <c r="O8" i="2015"/>
  <c r="O17" i="2015"/>
  <c r="O21" i="2015"/>
  <c r="P22" i="2015"/>
  <c r="AC22" i="2015" s="1"/>
  <c r="O28" i="2015"/>
  <c r="K21" i="2015"/>
  <c r="K19" i="2014"/>
  <c r="AB19" i="2014"/>
  <c r="P19" i="2014"/>
  <c r="AC19" i="2014" s="1"/>
  <c r="AD19" i="2014" s="1"/>
  <c r="AD12" i="2014"/>
  <c r="AD8" i="2014"/>
  <c r="AD7" i="2014"/>
  <c r="Q28" i="2014"/>
  <c r="M27" i="2014"/>
  <c r="P27" i="2014"/>
  <c r="AC27" i="2014" s="1"/>
  <c r="AD23" i="2014"/>
  <c r="AD14" i="2014"/>
  <c r="AD15" i="2014"/>
  <c r="AD26" i="2014"/>
  <c r="AD10" i="2014"/>
  <c r="AD18" i="2014"/>
  <c r="AD11" i="2014"/>
  <c r="O9" i="2014"/>
  <c r="M16" i="2014"/>
  <c r="AB16" i="2014"/>
  <c r="AD16" i="2014" s="1"/>
  <c r="O17" i="2014"/>
  <c r="M20" i="2014"/>
  <c r="AB20" i="2014"/>
  <c r="AD20" i="2014" s="1"/>
  <c r="O21" i="2014"/>
  <c r="AB27" i="2014"/>
  <c r="AD27" i="2014" s="1"/>
  <c r="L28" i="2014"/>
  <c r="O28" i="2014" s="1"/>
  <c r="AD6" i="2014"/>
  <c r="P9" i="2014"/>
  <c r="AC9" i="2014" s="1"/>
  <c r="M13" i="2014"/>
  <c r="AB13" i="2014"/>
  <c r="AD13" i="2014" s="1"/>
  <c r="P17" i="2014"/>
  <c r="AC17" i="2014" s="1"/>
  <c r="M19" i="2014"/>
  <c r="P21" i="2014"/>
  <c r="AC21" i="2014" s="1"/>
  <c r="AD21" i="2014" s="1"/>
  <c r="M9" i="2014"/>
  <c r="K28" i="2014"/>
  <c r="M17" i="2014"/>
  <c r="M21" i="2014"/>
  <c r="AD21" i="2013"/>
  <c r="K19" i="2013"/>
  <c r="M19" i="2013"/>
  <c r="AB19" i="2013"/>
  <c r="P19" i="2013"/>
  <c r="AC19" i="2013" s="1"/>
  <c r="AD19" i="2013" s="1"/>
  <c r="P18" i="2013"/>
  <c r="AC18" i="2013" s="1"/>
  <c r="K18" i="2013"/>
  <c r="M13" i="2013"/>
  <c r="AB13" i="2013"/>
  <c r="K13" i="2013"/>
  <c r="O13" i="2013"/>
  <c r="AD11" i="2013"/>
  <c r="Q28" i="2013"/>
  <c r="AD27" i="2013"/>
  <c r="AD10" i="2013"/>
  <c r="AD15" i="2013"/>
  <c r="AD17" i="2013"/>
  <c r="AD7" i="2013"/>
  <c r="AD13" i="2013"/>
  <c r="AD8" i="2013"/>
  <c r="AC6" i="2013"/>
  <c r="O16" i="2013"/>
  <c r="M6" i="2013"/>
  <c r="AB6" i="2013"/>
  <c r="AB28" i="2013" s="1"/>
  <c r="M9" i="2013"/>
  <c r="AB9" i="2013"/>
  <c r="AD9" i="2013" s="1"/>
  <c r="M12" i="2013"/>
  <c r="AB12" i="2013"/>
  <c r="AD12" i="2013" s="1"/>
  <c r="P16" i="2013"/>
  <c r="AC16" i="2013" s="1"/>
  <c r="AD16" i="2013" s="1"/>
  <c r="M18" i="2013"/>
  <c r="AB18" i="2013"/>
  <c r="AD18" i="2013" s="1"/>
  <c r="P20" i="2013"/>
  <c r="AC20" i="2013" s="1"/>
  <c r="L28" i="2013"/>
  <c r="O28" i="2013" s="1"/>
  <c r="M16" i="2013"/>
  <c r="M20" i="2013"/>
  <c r="AB20" i="2013"/>
  <c r="P20" i="2012"/>
  <c r="AC20" i="2012" s="1"/>
  <c r="O11" i="2012"/>
  <c r="P17" i="2012"/>
  <c r="AC17" i="2012" s="1"/>
  <c r="K16" i="2012"/>
  <c r="K17" i="2012"/>
  <c r="P13" i="2012"/>
  <c r="AC13" i="2012" s="1"/>
  <c r="K19" i="2012"/>
  <c r="P9" i="2012"/>
  <c r="AC9" i="2012" s="1"/>
  <c r="M19" i="2012"/>
  <c r="P19" i="2012"/>
  <c r="AC19" i="2012" s="1"/>
  <c r="AB19" i="2012"/>
  <c r="P18" i="2012"/>
  <c r="AC18" i="2012" s="1"/>
  <c r="AD18" i="2012" s="1"/>
  <c r="M16" i="2012"/>
  <c r="AD16" i="2012"/>
  <c r="K13" i="2012"/>
  <c r="M11" i="2012"/>
  <c r="K9" i="2012"/>
  <c r="O8" i="2012"/>
  <c r="P8" i="2012"/>
  <c r="AC8" i="2012" s="1"/>
  <c r="AD15" i="2012"/>
  <c r="AD17" i="2012"/>
  <c r="AD8" i="2012"/>
  <c r="AD27" i="2012"/>
  <c r="AD10" i="2012"/>
  <c r="AD24" i="2012"/>
  <c r="Q28" i="2012"/>
  <c r="AD14" i="2012"/>
  <c r="AD23" i="2012"/>
  <c r="AD22" i="2012"/>
  <c r="AD26" i="2012"/>
  <c r="AF69" i="2012"/>
  <c r="AD11" i="2012"/>
  <c r="AD7" i="2012"/>
  <c r="AD6" i="2012"/>
  <c r="AB13" i="2012"/>
  <c r="L28" i="2012"/>
  <c r="O28" i="2012" s="1"/>
  <c r="K28" i="2012"/>
  <c r="M9" i="2012"/>
  <c r="AB9" i="2012"/>
  <c r="M12" i="2012"/>
  <c r="AB12" i="2012"/>
  <c r="AD12" i="2012" s="1"/>
  <c r="O13" i="2012"/>
  <c r="M20" i="2012"/>
  <c r="AB20" i="2012"/>
  <c r="O21" i="2012"/>
  <c r="AD21" i="2012" s="1"/>
  <c r="M13" i="2012"/>
  <c r="O20" i="2012"/>
  <c r="M30" i="2016" l="1"/>
  <c r="AD7" i="2016"/>
  <c r="AD23" i="2016"/>
  <c r="AD30" i="2016"/>
  <c r="P30" i="2016"/>
  <c r="AC30" i="2016"/>
  <c r="AD21" i="2015"/>
  <c r="AD13" i="2015"/>
  <c r="AD8" i="2015"/>
  <c r="K29" i="2015"/>
  <c r="AD17" i="2015"/>
  <c r="M29" i="2015"/>
  <c r="AD22" i="2015"/>
  <c r="AD28" i="2015"/>
  <c r="AB29" i="2015"/>
  <c r="AC6" i="2015"/>
  <c r="P29" i="2015"/>
  <c r="P28" i="2014"/>
  <c r="AD17" i="2014"/>
  <c r="M28" i="2014"/>
  <c r="AD9" i="2014"/>
  <c r="AB28" i="2014"/>
  <c r="AC28" i="2014"/>
  <c r="P28" i="2013"/>
  <c r="K28" i="2013"/>
  <c r="M28" i="2013"/>
  <c r="AD20" i="2013"/>
  <c r="AD6" i="2013"/>
  <c r="AC28" i="2013"/>
  <c r="AD9" i="2012"/>
  <c r="AD19" i="2012"/>
  <c r="AC28" i="2012"/>
  <c r="P28" i="2012"/>
  <c r="AD13" i="2012"/>
  <c r="M28" i="2012"/>
  <c r="AD20" i="2012"/>
  <c r="AB28" i="2012"/>
  <c r="AE22" i="2016" l="1"/>
  <c r="AE19" i="2016"/>
  <c r="AE24" i="2016"/>
  <c r="AE20" i="2016"/>
  <c r="AE29" i="2016"/>
  <c r="AE26" i="2016"/>
  <c r="AE23" i="2016"/>
  <c r="AE12" i="2016"/>
  <c r="AE11" i="2016"/>
  <c r="AE6" i="2016"/>
  <c r="AE15" i="2016"/>
  <c r="AE10" i="2016"/>
  <c r="AE13" i="2016"/>
  <c r="AE7" i="2016"/>
  <c r="AE17" i="2016"/>
  <c r="AE28" i="2016"/>
  <c r="AE14" i="2016"/>
  <c r="AE25" i="2016"/>
  <c r="AE18" i="2016"/>
  <c r="AE9" i="2016"/>
  <c r="AE21" i="2016"/>
  <c r="AE8" i="2016"/>
  <c r="AE16" i="2016"/>
  <c r="AE27" i="2016"/>
  <c r="AC29" i="2015"/>
  <c r="AD6" i="2015"/>
  <c r="AD29" i="2015" s="1"/>
  <c r="AE12" i="2015" s="1"/>
  <c r="AD28" i="2014"/>
  <c r="AE20" i="2014" s="1"/>
  <c r="AD28" i="2013"/>
  <c r="AE27" i="2013" s="1"/>
  <c r="AD28" i="2012"/>
  <c r="AE27" i="2012" s="1"/>
  <c r="AE28" i="2015" l="1"/>
  <c r="AE21" i="2015"/>
  <c r="AE17" i="2015"/>
  <c r="AE8" i="2015"/>
  <c r="AE26" i="2015"/>
  <c r="AE24" i="2015"/>
  <c r="AE22" i="2015"/>
  <c r="AE18" i="2015"/>
  <c r="AE15" i="2015"/>
  <c r="AE11" i="2015"/>
  <c r="AE9" i="2015"/>
  <c r="AE19" i="2015"/>
  <c r="AE13" i="2015"/>
  <c r="AE6" i="2015"/>
  <c r="AE27" i="2015"/>
  <c r="AE25" i="2015"/>
  <c r="AE23" i="2015"/>
  <c r="AE20" i="2015"/>
  <c r="AE16" i="2015"/>
  <c r="AE14" i="2015"/>
  <c r="AE10" i="2015"/>
  <c r="AE7" i="2015"/>
  <c r="AE10" i="2014"/>
  <c r="AE21" i="2014"/>
  <c r="AE24" i="2014"/>
  <c r="AE18" i="2014"/>
  <c r="AE8" i="2014"/>
  <c r="AE13" i="2014"/>
  <c r="AE6" i="2014"/>
  <c r="AE11" i="2014"/>
  <c r="AE22" i="2014"/>
  <c r="AE17" i="2014"/>
  <c r="AE27" i="2014"/>
  <c r="AE15" i="2014"/>
  <c r="AE26" i="2014"/>
  <c r="AE9" i="2014"/>
  <c r="AE23" i="2014"/>
  <c r="AE16" i="2014"/>
  <c r="AE7" i="2014"/>
  <c r="AE19" i="2014"/>
  <c r="AE12" i="2014"/>
  <c r="AE14" i="2014"/>
  <c r="AE25" i="2014"/>
  <c r="AE15" i="2013"/>
  <c r="AE10" i="2013"/>
  <c r="AE26" i="2013"/>
  <c r="AE8" i="2013"/>
  <c r="AE21" i="2013"/>
  <c r="AE11" i="2013"/>
  <c r="AE16" i="2013"/>
  <c r="AE7" i="2013"/>
  <c r="AE19" i="2013"/>
  <c r="AE23" i="2013"/>
  <c r="AE6" i="2013"/>
  <c r="AE14" i="2013"/>
  <c r="AE20" i="2013"/>
  <c r="AE24" i="2013"/>
  <c r="AE12" i="2013"/>
  <c r="AE25" i="2013"/>
  <c r="AE9" i="2013"/>
  <c r="AE17" i="2013"/>
  <c r="AE22" i="2013"/>
  <c r="AE13" i="2013"/>
  <c r="AE18" i="2013"/>
  <c r="AE12" i="2012"/>
  <c r="AE11" i="2012"/>
  <c r="AE24" i="2012"/>
  <c r="AE16" i="2012"/>
  <c r="AE21" i="2012"/>
  <c r="AE20" i="2012"/>
  <c r="AE26" i="2012"/>
  <c r="AE6" i="2012"/>
  <c r="AE7" i="2012"/>
  <c r="AE15" i="2012"/>
  <c r="AE25" i="2012"/>
  <c r="AE14" i="2012"/>
  <c r="AE19" i="2012"/>
  <c r="AE23" i="2012"/>
  <c r="AE13" i="2012"/>
  <c r="AE17" i="2012"/>
  <c r="AE9" i="2012"/>
  <c r="AE8" i="2012"/>
  <c r="AE22" i="2012"/>
  <c r="AE10" i="2012"/>
  <c r="AE18" i="2012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L23" i="2011"/>
  <c r="K23" i="2011"/>
  <c r="L22" i="2011"/>
  <c r="K22" i="2011" s="1"/>
  <c r="L21" i="2011"/>
  <c r="K21" i="2011"/>
  <c r="AF21" i="2011"/>
  <c r="Q21" i="2011"/>
  <c r="O21" i="2011"/>
  <c r="AB21" i="2011"/>
  <c r="L20" i="2011"/>
  <c r="O20" i="2011" s="1"/>
  <c r="L18" i="2011"/>
  <c r="L17" i="2011"/>
  <c r="K17" i="2011" s="1"/>
  <c r="L14" i="2011"/>
  <c r="K14" i="2011" s="1"/>
  <c r="L13" i="2011"/>
  <c r="K13" i="2011" s="1"/>
  <c r="L12" i="2011"/>
  <c r="K12" i="2011" s="1"/>
  <c r="L10" i="2011"/>
  <c r="K10" i="2011" s="1"/>
  <c r="L9" i="2011"/>
  <c r="K9" i="2011" s="1"/>
  <c r="L8" i="2011"/>
  <c r="K8" i="2011" s="1"/>
  <c r="L6" i="2011"/>
  <c r="K6" i="2011" s="1"/>
  <c r="K20" i="2011"/>
  <c r="K19" i="2011"/>
  <c r="K18" i="2011"/>
  <c r="K7" i="2011"/>
  <c r="A85" i="2011"/>
  <c r="A86" i="2011" s="1"/>
  <c r="A87" i="2011" s="1"/>
  <c r="A88" i="2011" s="1"/>
  <c r="A89" i="2011" s="1"/>
  <c r="A90" i="2011" s="1"/>
  <c r="AF71" i="2011"/>
  <c r="AF69" i="2011"/>
  <c r="AF68" i="2011"/>
  <c r="AA30" i="2011"/>
  <c r="Z30" i="2011"/>
  <c r="Y30" i="2011"/>
  <c r="X30" i="2011"/>
  <c r="W30" i="2011"/>
  <c r="V30" i="2011"/>
  <c r="U30" i="2011"/>
  <c r="T30" i="2011"/>
  <c r="S30" i="2011"/>
  <c r="R30" i="2011"/>
  <c r="N30" i="2011"/>
  <c r="J30" i="2011"/>
  <c r="I30" i="2011"/>
  <c r="AF29" i="2011"/>
  <c r="AB29" i="2011"/>
  <c r="Q29" i="2011"/>
  <c r="P29" i="2011"/>
  <c r="AC29" i="2011" s="1"/>
  <c r="AD29" i="2011" s="1"/>
  <c r="O29" i="2011"/>
  <c r="M29" i="2011"/>
  <c r="K29" i="2011"/>
  <c r="AF28" i="2011"/>
  <c r="AB28" i="2011"/>
  <c r="Q28" i="2011"/>
  <c r="P28" i="2011"/>
  <c r="AC28" i="2011" s="1"/>
  <c r="AD28" i="2011" s="1"/>
  <c r="O28" i="2011"/>
  <c r="M28" i="2011"/>
  <c r="K28" i="2011"/>
  <c r="AF27" i="2011"/>
  <c r="AB27" i="2011"/>
  <c r="Q27" i="2011"/>
  <c r="P27" i="2011"/>
  <c r="AC27" i="2011" s="1"/>
  <c r="O27" i="2011"/>
  <c r="M27" i="2011"/>
  <c r="K27" i="2011"/>
  <c r="AF26" i="2011"/>
  <c r="AC26" i="2011"/>
  <c r="AD26" i="2011" s="1"/>
  <c r="AB26" i="2011"/>
  <c r="Q26" i="2011"/>
  <c r="P26" i="2011"/>
  <c r="O26" i="2011"/>
  <c r="M26" i="2011"/>
  <c r="K26" i="2011"/>
  <c r="AF25" i="2011"/>
  <c r="AC25" i="2011"/>
  <c r="AD25" i="2011" s="1"/>
  <c r="AB25" i="2011"/>
  <c r="Q25" i="2011"/>
  <c r="P25" i="2011"/>
  <c r="O25" i="2011"/>
  <c r="M25" i="2011"/>
  <c r="K25" i="2011"/>
  <c r="AF24" i="2011"/>
  <c r="AC24" i="2011"/>
  <c r="AB24" i="2011"/>
  <c r="Q24" i="2011"/>
  <c r="P24" i="2011"/>
  <c r="O24" i="2011"/>
  <c r="M24" i="2011"/>
  <c r="K24" i="2011"/>
  <c r="AF23" i="2011"/>
  <c r="Q23" i="2011"/>
  <c r="P23" i="2011" s="1"/>
  <c r="AC23" i="2011" s="1"/>
  <c r="AF22" i="2011"/>
  <c r="AB22" i="2011"/>
  <c r="Q22" i="2011"/>
  <c r="P22" i="2011" s="1"/>
  <c r="AC22" i="2011" s="1"/>
  <c r="O22" i="2011"/>
  <c r="M22" i="2011"/>
  <c r="AF20" i="2011"/>
  <c r="Q20" i="2011"/>
  <c r="AF19" i="2011"/>
  <c r="AB19" i="2011"/>
  <c r="Q19" i="2011"/>
  <c r="P19" i="2011"/>
  <c r="AC19" i="2011" s="1"/>
  <c r="M19" i="2011"/>
  <c r="O19" i="2011"/>
  <c r="AF18" i="2011"/>
  <c r="Q18" i="2011"/>
  <c r="AF17" i="2011"/>
  <c r="AB17" i="2011"/>
  <c r="Q17" i="2011"/>
  <c r="P17" i="2011" s="1"/>
  <c r="AC17" i="2011" s="1"/>
  <c r="O17" i="2011"/>
  <c r="M17" i="2011"/>
  <c r="AF16" i="2011"/>
  <c r="AC16" i="2011"/>
  <c r="AB16" i="2011"/>
  <c r="Q16" i="2011"/>
  <c r="P16" i="2011"/>
  <c r="O16" i="2011"/>
  <c r="M16" i="2011"/>
  <c r="K16" i="2011"/>
  <c r="AF15" i="2011"/>
  <c r="AC15" i="2011"/>
  <c r="AB15" i="2011"/>
  <c r="Q15" i="2011"/>
  <c r="P15" i="2011"/>
  <c r="O15" i="2011"/>
  <c r="M15" i="2011"/>
  <c r="K15" i="2011"/>
  <c r="AF14" i="2011"/>
  <c r="Q14" i="2011"/>
  <c r="O14" i="2011"/>
  <c r="AB14" i="2011"/>
  <c r="AF13" i="2011"/>
  <c r="AB13" i="2011"/>
  <c r="Q13" i="2011"/>
  <c r="AF12" i="2011"/>
  <c r="Q12" i="2011"/>
  <c r="P12" i="2011" s="1"/>
  <c r="AC12" i="2011" s="1"/>
  <c r="AF11" i="2011"/>
  <c r="AB11" i="2011"/>
  <c r="Q11" i="2011"/>
  <c r="P11" i="2011"/>
  <c r="AC11" i="2011" s="1"/>
  <c r="O11" i="2011"/>
  <c r="M11" i="2011"/>
  <c r="K11" i="2011"/>
  <c r="AF10" i="2011"/>
  <c r="AB10" i="2011"/>
  <c r="Q10" i="2011"/>
  <c r="P10" i="2011"/>
  <c r="AC10" i="2011" s="1"/>
  <c r="M10" i="2011"/>
  <c r="O10" i="2011"/>
  <c r="AF9" i="2011"/>
  <c r="Q9" i="2011"/>
  <c r="AF8" i="2011"/>
  <c r="Q8" i="2011"/>
  <c r="P8" i="2011"/>
  <c r="AC8" i="2011" s="1"/>
  <c r="AF7" i="2011"/>
  <c r="Q7" i="2011"/>
  <c r="O7" i="2011"/>
  <c r="AB7" i="2011"/>
  <c r="AF6" i="2011"/>
  <c r="AB6" i="2011"/>
  <c r="Q6" i="2011"/>
  <c r="M6" i="2011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L22" i="2010"/>
  <c r="L21" i="2010"/>
  <c r="AB21" i="2010" s="1"/>
  <c r="L20" i="2010"/>
  <c r="L19" i="2010"/>
  <c r="L18" i="2010"/>
  <c r="L17" i="2010"/>
  <c r="K17" i="2010" s="1"/>
  <c r="L14" i="2010"/>
  <c r="L13" i="2010"/>
  <c r="K13" i="2010" s="1"/>
  <c r="L12" i="2010"/>
  <c r="O12" i="2010" s="1"/>
  <c r="L10" i="2010"/>
  <c r="K10" i="2010" s="1"/>
  <c r="L9" i="2010"/>
  <c r="AB9" i="2010" s="1"/>
  <c r="L8" i="2010"/>
  <c r="K8" i="2010" s="1"/>
  <c r="L7" i="2010"/>
  <c r="O7" i="2010" s="1"/>
  <c r="AF7" i="2010"/>
  <c r="Q7" i="2010"/>
  <c r="M7" i="2010"/>
  <c r="L6" i="2010"/>
  <c r="K22" i="2010"/>
  <c r="K21" i="2010"/>
  <c r="K20" i="2010"/>
  <c r="K19" i="2010"/>
  <c r="K18" i="2010"/>
  <c r="K14" i="2010"/>
  <c r="A84" i="2010"/>
  <c r="A85" i="2010" s="1"/>
  <c r="A86" i="2010" s="1"/>
  <c r="A87" i="2010" s="1"/>
  <c r="A88" i="2010" s="1"/>
  <c r="A89" i="2010" s="1"/>
  <c r="AF68" i="2010"/>
  <c r="AF67" i="2010"/>
  <c r="AA29" i="2010"/>
  <c r="Z29" i="2010"/>
  <c r="Y29" i="2010"/>
  <c r="X29" i="2010"/>
  <c r="W29" i="2010"/>
  <c r="V29" i="2010"/>
  <c r="U29" i="2010"/>
  <c r="T29" i="2010"/>
  <c r="S29" i="2010"/>
  <c r="R29" i="2010"/>
  <c r="N29" i="2010"/>
  <c r="J29" i="2010"/>
  <c r="I29" i="2010"/>
  <c r="AF28" i="2010"/>
  <c r="AB28" i="2010"/>
  <c r="Q28" i="2010"/>
  <c r="P28" i="2010"/>
  <c r="AC28" i="2010" s="1"/>
  <c r="O28" i="2010"/>
  <c r="M28" i="2010"/>
  <c r="K28" i="2010"/>
  <c r="AF27" i="2010"/>
  <c r="AB27" i="2010"/>
  <c r="Q27" i="2010"/>
  <c r="P27" i="2010"/>
  <c r="AC27" i="2010" s="1"/>
  <c r="O27" i="2010"/>
  <c r="M27" i="2010"/>
  <c r="K27" i="2010"/>
  <c r="AF26" i="2010"/>
  <c r="AB26" i="2010"/>
  <c r="Q26" i="2010"/>
  <c r="P26" i="2010"/>
  <c r="AC26" i="2010" s="1"/>
  <c r="O26" i="2010"/>
  <c r="M26" i="2010"/>
  <c r="K26" i="2010"/>
  <c r="AF25" i="2010"/>
  <c r="AB25" i="2010"/>
  <c r="Q25" i="2010"/>
  <c r="P25" i="2010"/>
  <c r="AC25" i="2010" s="1"/>
  <c r="O25" i="2010"/>
  <c r="M25" i="2010"/>
  <c r="K25" i="2010"/>
  <c r="AF24" i="2010"/>
  <c r="AB24" i="2010"/>
  <c r="Q24" i="2010"/>
  <c r="P24" i="2010"/>
  <c r="AC24" i="2010" s="1"/>
  <c r="O24" i="2010"/>
  <c r="M24" i="2010"/>
  <c r="K24" i="2010"/>
  <c r="AF23" i="2010"/>
  <c r="AB23" i="2010"/>
  <c r="Q23" i="2010"/>
  <c r="P23" i="2010"/>
  <c r="AC23" i="2010" s="1"/>
  <c r="O23" i="2010"/>
  <c r="M23" i="2010"/>
  <c r="K23" i="2010"/>
  <c r="AF22" i="2010"/>
  <c r="Q22" i="2010"/>
  <c r="P22" i="2010" s="1"/>
  <c r="AC22" i="2010" s="1"/>
  <c r="O22" i="2010"/>
  <c r="M22" i="2010"/>
  <c r="AB22" i="2010"/>
  <c r="AF21" i="2010"/>
  <c r="Q21" i="2010"/>
  <c r="O21" i="2010"/>
  <c r="M21" i="2010"/>
  <c r="AF20" i="2010"/>
  <c r="Q20" i="2010"/>
  <c r="O20" i="2010"/>
  <c r="AF19" i="2010"/>
  <c r="AB19" i="2010"/>
  <c r="Q19" i="2010"/>
  <c r="O19" i="2010"/>
  <c r="M19" i="2010"/>
  <c r="P19" i="2010"/>
  <c r="AC19" i="2010" s="1"/>
  <c r="AF18" i="2010"/>
  <c r="Q18" i="2010"/>
  <c r="O18" i="2010"/>
  <c r="AF17" i="2010"/>
  <c r="Q17" i="2010"/>
  <c r="P17" i="2010" s="1"/>
  <c r="AC17" i="2010" s="1"/>
  <c r="M17" i="2010"/>
  <c r="AF16" i="2010"/>
  <c r="AB16" i="2010"/>
  <c r="Q16" i="2010"/>
  <c r="P16" i="2010"/>
  <c r="AC16" i="2010" s="1"/>
  <c r="O16" i="2010"/>
  <c r="M16" i="2010"/>
  <c r="K16" i="2010"/>
  <c r="AF15" i="2010"/>
  <c r="AB15" i="2010"/>
  <c r="Q15" i="2010"/>
  <c r="P15" i="2010"/>
  <c r="AC15" i="2010" s="1"/>
  <c r="O15" i="2010"/>
  <c r="M15" i="2010"/>
  <c r="K15" i="2010"/>
  <c r="AF14" i="2010"/>
  <c r="Q14" i="2010"/>
  <c r="AB14" i="2010"/>
  <c r="AF13" i="2010"/>
  <c r="Q13" i="2010"/>
  <c r="AF12" i="2010"/>
  <c r="Q12" i="2010"/>
  <c r="P12" i="2010" s="1"/>
  <c r="AC12" i="2010" s="1"/>
  <c r="AF11" i="2010"/>
  <c r="AB11" i="2010"/>
  <c r="Q11" i="2010"/>
  <c r="P11" i="2010"/>
  <c r="AC11" i="2010" s="1"/>
  <c r="O11" i="2010"/>
  <c r="M11" i="2010"/>
  <c r="K11" i="2010"/>
  <c r="AF10" i="2010"/>
  <c r="Q10" i="2010"/>
  <c r="P10" i="2010" s="1"/>
  <c r="AC10" i="2010" s="1"/>
  <c r="AB10" i="2010"/>
  <c r="AF9" i="2010"/>
  <c r="Q9" i="2010"/>
  <c r="M9" i="2010"/>
  <c r="AF8" i="2010"/>
  <c r="Q8" i="2010"/>
  <c r="O8" i="2010"/>
  <c r="AF6" i="2010"/>
  <c r="Q6" i="2010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L23" i="2009"/>
  <c r="K23" i="2009" s="1"/>
  <c r="L22" i="2009"/>
  <c r="K22" i="2009" s="1"/>
  <c r="L21" i="2009"/>
  <c r="AB21" i="2009" s="1"/>
  <c r="AF21" i="2009"/>
  <c r="Q21" i="2009"/>
  <c r="O21" i="2009"/>
  <c r="M21" i="2009"/>
  <c r="K21" i="2009"/>
  <c r="K20" i="2009"/>
  <c r="L19" i="2009"/>
  <c r="AB19" i="2009" s="1"/>
  <c r="L18" i="2009"/>
  <c r="K17" i="2009"/>
  <c r="K16" i="2009"/>
  <c r="AF16" i="2009"/>
  <c r="AB16" i="2009"/>
  <c r="Q16" i="2009"/>
  <c r="P16" i="2009" s="1"/>
  <c r="AC16" i="2009" s="1"/>
  <c r="O16" i="2009"/>
  <c r="M16" i="2009"/>
  <c r="L13" i="2009"/>
  <c r="K13" i="2009" s="1"/>
  <c r="L12" i="2009"/>
  <c r="K12" i="2009" s="1"/>
  <c r="L11" i="2009"/>
  <c r="K11" i="2009" s="1"/>
  <c r="L9" i="2009"/>
  <c r="K9" i="2009" s="1"/>
  <c r="L8" i="2009"/>
  <c r="K8" i="2009" s="1"/>
  <c r="L7" i="2009"/>
  <c r="K7" i="2009" s="1"/>
  <c r="L6" i="2009"/>
  <c r="K6" i="2009" s="1"/>
  <c r="K18" i="2009"/>
  <c r="A85" i="2009"/>
  <c r="A86" i="2009" s="1"/>
  <c r="A87" i="2009" s="1"/>
  <c r="A88" i="2009" s="1"/>
  <c r="A89" i="2009" s="1"/>
  <c r="A90" i="2009" s="1"/>
  <c r="AF69" i="2009"/>
  <c r="AF68" i="2009"/>
  <c r="AA30" i="2009"/>
  <c r="Z30" i="2009"/>
  <c r="Y30" i="2009"/>
  <c r="X30" i="2009"/>
  <c r="W30" i="2009"/>
  <c r="V30" i="2009"/>
  <c r="U30" i="2009"/>
  <c r="T30" i="2009"/>
  <c r="S30" i="2009"/>
  <c r="R30" i="2009"/>
  <c r="N30" i="2009"/>
  <c r="J30" i="2009"/>
  <c r="I30" i="2009"/>
  <c r="AF29" i="2009"/>
  <c r="AB29" i="2009"/>
  <c r="Q29" i="2009"/>
  <c r="P29" i="2009"/>
  <c r="AC29" i="2009" s="1"/>
  <c r="O29" i="2009"/>
  <c r="M29" i="2009"/>
  <c r="K29" i="2009"/>
  <c r="AF28" i="2009"/>
  <c r="AB28" i="2009"/>
  <c r="Q28" i="2009"/>
  <c r="P28" i="2009"/>
  <c r="AC28" i="2009" s="1"/>
  <c r="O28" i="2009"/>
  <c r="M28" i="2009"/>
  <c r="K28" i="2009"/>
  <c r="AF27" i="2009"/>
  <c r="AB27" i="2009"/>
  <c r="Q27" i="2009"/>
  <c r="P27" i="2009"/>
  <c r="AC27" i="2009" s="1"/>
  <c r="O27" i="2009"/>
  <c r="M27" i="2009"/>
  <c r="K27" i="2009"/>
  <c r="AF26" i="2009"/>
  <c r="AB26" i="2009"/>
  <c r="Q26" i="2009"/>
  <c r="P26" i="2009"/>
  <c r="AC26" i="2009" s="1"/>
  <c r="O26" i="2009"/>
  <c r="M26" i="2009"/>
  <c r="K26" i="2009"/>
  <c r="AF25" i="2009"/>
  <c r="AB25" i="2009"/>
  <c r="Q25" i="2009"/>
  <c r="P25" i="2009"/>
  <c r="AC25" i="2009" s="1"/>
  <c r="O25" i="2009"/>
  <c r="M25" i="2009"/>
  <c r="K25" i="2009"/>
  <c r="AF24" i="2009"/>
  <c r="AB24" i="2009"/>
  <c r="Q24" i="2009"/>
  <c r="P24" i="2009"/>
  <c r="AC24" i="2009" s="1"/>
  <c r="O24" i="2009"/>
  <c r="M24" i="2009"/>
  <c r="K24" i="2009"/>
  <c r="AF23" i="2009"/>
  <c r="AB23" i="2009"/>
  <c r="Q23" i="2009"/>
  <c r="P23" i="2009"/>
  <c r="AC23" i="2009" s="1"/>
  <c r="O23" i="2009"/>
  <c r="M23" i="2009"/>
  <c r="AF22" i="2009"/>
  <c r="AB22" i="2009"/>
  <c r="Q22" i="2009"/>
  <c r="M22" i="2009"/>
  <c r="P22" i="2009"/>
  <c r="AC22" i="2009" s="1"/>
  <c r="AF20" i="2009"/>
  <c r="Q20" i="2009"/>
  <c r="O20" i="2009"/>
  <c r="AF19" i="2009"/>
  <c r="Q19" i="2009"/>
  <c r="AF18" i="2009"/>
  <c r="AB18" i="2009"/>
  <c r="Q18" i="2009"/>
  <c r="P18" i="2009"/>
  <c r="AC18" i="2009" s="1"/>
  <c r="O18" i="2009"/>
  <c r="M18" i="2009"/>
  <c r="AF17" i="2009"/>
  <c r="AB17" i="2009"/>
  <c r="Q17" i="2009"/>
  <c r="M17" i="2009"/>
  <c r="P17" i="2009"/>
  <c r="AC17" i="2009" s="1"/>
  <c r="AF15" i="2009"/>
  <c r="AB15" i="2009"/>
  <c r="Q15" i="2009"/>
  <c r="P15" i="2009"/>
  <c r="AC15" i="2009" s="1"/>
  <c r="O15" i="2009"/>
  <c r="M15" i="2009"/>
  <c r="K15" i="2009"/>
  <c r="AF14" i="2009"/>
  <c r="AB14" i="2009"/>
  <c r="Q14" i="2009"/>
  <c r="P14" i="2009"/>
  <c r="AC14" i="2009" s="1"/>
  <c r="O14" i="2009"/>
  <c r="M14" i="2009"/>
  <c r="K14" i="2009"/>
  <c r="AF13" i="2009"/>
  <c r="Q13" i="2009"/>
  <c r="AF12" i="2009"/>
  <c r="Q12" i="2009"/>
  <c r="AF11" i="2009"/>
  <c r="AB11" i="2009"/>
  <c r="Q11" i="2009"/>
  <c r="P11" i="2009" s="1"/>
  <c r="AC11" i="2009" s="1"/>
  <c r="O11" i="2009"/>
  <c r="M11" i="2009"/>
  <c r="AF10" i="2009"/>
  <c r="AB10" i="2009"/>
  <c r="Q10" i="2009"/>
  <c r="P10" i="2009"/>
  <c r="AC10" i="2009" s="1"/>
  <c r="O10" i="2009"/>
  <c r="M10" i="2009"/>
  <c r="K10" i="2009"/>
  <c r="AF9" i="2009"/>
  <c r="Q9" i="2009"/>
  <c r="AF8" i="2009"/>
  <c r="Q8" i="2009"/>
  <c r="P8" i="2009" s="1"/>
  <c r="AC8" i="2009" s="1"/>
  <c r="AF7" i="2009"/>
  <c r="Q7" i="2009"/>
  <c r="AF6" i="2009"/>
  <c r="AB6" i="2009"/>
  <c r="Q6" i="2009"/>
  <c r="M6" i="2009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2" i="2008"/>
  <c r="K22" i="2008" s="1"/>
  <c r="L21" i="2008"/>
  <c r="L20" i="2008"/>
  <c r="K20" i="2008" s="1"/>
  <c r="L19" i="2008"/>
  <c r="K19" i="2008" s="1"/>
  <c r="L18" i="2008"/>
  <c r="O18" i="2008" s="1"/>
  <c r="L17" i="2008"/>
  <c r="K17" i="2008" s="1"/>
  <c r="L14" i="2008"/>
  <c r="K14" i="2008" s="1"/>
  <c r="L13" i="2008"/>
  <c r="AF12" i="2008"/>
  <c r="AB12" i="2008"/>
  <c r="Q12" i="2008"/>
  <c r="P12" i="2008" s="1"/>
  <c r="AC12" i="2008" s="1"/>
  <c r="O12" i="2008"/>
  <c r="M12" i="2008"/>
  <c r="K12" i="2008"/>
  <c r="K11" i="2008"/>
  <c r="L9" i="2008"/>
  <c r="K9" i="2008" s="1"/>
  <c r="L8" i="2008"/>
  <c r="L7" i="2008"/>
  <c r="L6" i="2008"/>
  <c r="M6" i="2008" s="1"/>
  <c r="K21" i="2008"/>
  <c r="K13" i="2008"/>
  <c r="K8" i="2008"/>
  <c r="K7" i="2008"/>
  <c r="A84" i="2008"/>
  <c r="A85" i="2008" s="1"/>
  <c r="A86" i="2008" s="1"/>
  <c r="A87" i="2008" s="1"/>
  <c r="A88" i="2008" s="1"/>
  <c r="A89" i="2008" s="1"/>
  <c r="AF68" i="2008"/>
  <c r="AF67" i="2008"/>
  <c r="AF70" i="2008" s="1"/>
  <c r="AA29" i="2008"/>
  <c r="Z29" i="2008"/>
  <c r="Y29" i="2008"/>
  <c r="X29" i="2008"/>
  <c r="W29" i="2008"/>
  <c r="V29" i="2008"/>
  <c r="U29" i="2008"/>
  <c r="T29" i="2008"/>
  <c r="S29" i="2008"/>
  <c r="R29" i="2008"/>
  <c r="N29" i="2008"/>
  <c r="J29" i="2008"/>
  <c r="I29" i="2008"/>
  <c r="AF28" i="2008"/>
  <c r="AB28" i="2008"/>
  <c r="Q28" i="2008"/>
  <c r="P28" i="2008"/>
  <c r="AC28" i="2008" s="1"/>
  <c r="O28" i="2008"/>
  <c r="M28" i="2008"/>
  <c r="K28" i="2008"/>
  <c r="AF27" i="2008"/>
  <c r="AB27" i="2008"/>
  <c r="Q27" i="2008"/>
  <c r="P27" i="2008"/>
  <c r="AC27" i="2008" s="1"/>
  <c r="O27" i="2008"/>
  <c r="M27" i="2008"/>
  <c r="K27" i="2008"/>
  <c r="AF26" i="2008"/>
  <c r="AB26" i="2008"/>
  <c r="Q26" i="2008"/>
  <c r="P26" i="2008"/>
  <c r="AC26" i="2008" s="1"/>
  <c r="O26" i="2008"/>
  <c r="M26" i="2008"/>
  <c r="K26" i="2008"/>
  <c r="AF25" i="2008"/>
  <c r="AC25" i="2008"/>
  <c r="AB25" i="2008"/>
  <c r="Q25" i="2008"/>
  <c r="P25" i="2008"/>
  <c r="O25" i="2008"/>
  <c r="M25" i="2008"/>
  <c r="K25" i="2008"/>
  <c r="AF24" i="2008"/>
  <c r="AB24" i="2008"/>
  <c r="Q24" i="2008"/>
  <c r="P24" i="2008"/>
  <c r="AC24" i="2008" s="1"/>
  <c r="O24" i="2008"/>
  <c r="M24" i="2008"/>
  <c r="K24" i="2008"/>
  <c r="AF23" i="2008"/>
  <c r="AB23" i="2008"/>
  <c r="Q23" i="2008"/>
  <c r="P23" i="2008"/>
  <c r="AC23" i="2008" s="1"/>
  <c r="O23" i="2008"/>
  <c r="M23" i="2008"/>
  <c r="K23" i="2008"/>
  <c r="AF22" i="2008"/>
  <c r="Q22" i="2008"/>
  <c r="P22" i="2008" s="1"/>
  <c r="AC22" i="2008" s="1"/>
  <c r="AF21" i="2008"/>
  <c r="AB21" i="2008"/>
  <c r="Q21" i="2008"/>
  <c r="P21" i="2008"/>
  <c r="AC21" i="2008" s="1"/>
  <c r="O21" i="2008"/>
  <c r="M21" i="2008"/>
  <c r="AF20" i="2008"/>
  <c r="AB20" i="2008"/>
  <c r="Q20" i="2008"/>
  <c r="P20" i="2008" s="1"/>
  <c r="AC20" i="2008" s="1"/>
  <c r="O20" i="2008"/>
  <c r="M20" i="2008"/>
  <c r="AF19" i="2008"/>
  <c r="Q19" i="2008"/>
  <c r="P19" i="2008"/>
  <c r="AC19" i="2008" s="1"/>
  <c r="AF18" i="2008"/>
  <c r="AB18" i="2008"/>
  <c r="Q18" i="2008"/>
  <c r="P18" i="2008"/>
  <c r="AC18" i="2008" s="1"/>
  <c r="M18" i="2008"/>
  <c r="AF17" i="2008"/>
  <c r="AB17" i="2008"/>
  <c r="Q17" i="2008"/>
  <c r="P17" i="2008" s="1"/>
  <c r="AC17" i="2008" s="1"/>
  <c r="O17" i="2008"/>
  <c r="M17" i="2008"/>
  <c r="AF16" i="2008"/>
  <c r="AB16" i="2008"/>
  <c r="Q16" i="2008"/>
  <c r="P16" i="2008"/>
  <c r="AC16" i="2008" s="1"/>
  <c r="AD16" i="2008" s="1"/>
  <c r="O16" i="2008"/>
  <c r="M16" i="2008"/>
  <c r="K16" i="2008"/>
  <c r="AF15" i="2008"/>
  <c r="AB15" i="2008"/>
  <c r="Q15" i="2008"/>
  <c r="P15" i="2008"/>
  <c r="AC15" i="2008" s="1"/>
  <c r="O15" i="2008"/>
  <c r="M15" i="2008"/>
  <c r="K15" i="2008"/>
  <c r="AF14" i="2008"/>
  <c r="Q14" i="2008"/>
  <c r="AF13" i="2008"/>
  <c r="AB13" i="2008"/>
  <c r="Q13" i="2008"/>
  <c r="P13" i="2008"/>
  <c r="AC13" i="2008" s="1"/>
  <c r="O13" i="2008"/>
  <c r="M13" i="2008"/>
  <c r="AF11" i="2008"/>
  <c r="AB11" i="2008"/>
  <c r="Q11" i="2008"/>
  <c r="P11" i="2008" s="1"/>
  <c r="AC11" i="2008" s="1"/>
  <c r="O11" i="2008"/>
  <c r="M11" i="2008"/>
  <c r="AF10" i="2008"/>
  <c r="AB10" i="2008"/>
  <c r="Q10" i="2008"/>
  <c r="P10" i="2008"/>
  <c r="AC10" i="2008" s="1"/>
  <c r="AD10" i="2008" s="1"/>
  <c r="O10" i="2008"/>
  <c r="M10" i="2008"/>
  <c r="K10" i="2008"/>
  <c r="AF9" i="2008"/>
  <c r="Q9" i="2008"/>
  <c r="AF8" i="2008"/>
  <c r="AB8" i="2008"/>
  <c r="Q8" i="2008"/>
  <c r="M8" i="2008"/>
  <c r="P8" i="2008"/>
  <c r="AC8" i="2008" s="1"/>
  <c r="AF7" i="2008"/>
  <c r="AB7" i="2008"/>
  <c r="Q7" i="2008"/>
  <c r="P7" i="2008" s="1"/>
  <c r="AC7" i="2008" s="1"/>
  <c r="O7" i="2008"/>
  <c r="M7" i="2008"/>
  <c r="AF6" i="2008"/>
  <c r="Q6" i="2008"/>
  <c r="O6" i="2008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L21" i="2007"/>
  <c r="K21" i="2007"/>
  <c r="L20" i="2007"/>
  <c r="L18" i="2007"/>
  <c r="L17" i="2007"/>
  <c r="K17" i="2007"/>
  <c r="L13" i="2007"/>
  <c r="L12" i="2007"/>
  <c r="K12" i="2007"/>
  <c r="L9" i="2007"/>
  <c r="L8" i="2007"/>
  <c r="AD24" i="2011" l="1"/>
  <c r="O13" i="2011"/>
  <c r="AD27" i="2011"/>
  <c r="P21" i="2011"/>
  <c r="AC21" i="2011" s="1"/>
  <c r="AD21" i="2011" s="1"/>
  <c r="M8" i="2011"/>
  <c r="AB8" i="2011"/>
  <c r="AD8" i="2011" s="1"/>
  <c r="M13" i="2011"/>
  <c r="O8" i="2011"/>
  <c r="P13" i="2011"/>
  <c r="AC13" i="2011" s="1"/>
  <c r="AD22" i="2011"/>
  <c r="P18" i="2011"/>
  <c r="AC18" i="2011" s="1"/>
  <c r="M21" i="2011"/>
  <c r="AB20" i="2011"/>
  <c r="Q30" i="2011"/>
  <c r="P9" i="2011"/>
  <c r="AC9" i="2011" s="1"/>
  <c r="L30" i="2011"/>
  <c r="O30" i="2011" s="1"/>
  <c r="P6" i="2011"/>
  <c r="AC6" i="2011" s="1"/>
  <c r="AD15" i="2011"/>
  <c r="AD16" i="2011"/>
  <c r="AD17" i="2011"/>
  <c r="AD11" i="2011"/>
  <c r="AD19" i="2011"/>
  <c r="AD13" i="2011"/>
  <c r="AD10" i="2011"/>
  <c r="O6" i="2011"/>
  <c r="K30" i="2011"/>
  <c r="P7" i="2011"/>
  <c r="AC7" i="2011" s="1"/>
  <c r="AD7" i="2011" s="1"/>
  <c r="M9" i="2011"/>
  <c r="AB9" i="2011"/>
  <c r="M12" i="2011"/>
  <c r="AB12" i="2011"/>
  <c r="P14" i="2011"/>
  <c r="AC14" i="2011" s="1"/>
  <c r="AD14" i="2011" s="1"/>
  <c r="M18" i="2011"/>
  <c r="AB18" i="2011"/>
  <c r="P20" i="2011"/>
  <c r="AC20" i="2011" s="1"/>
  <c r="AD20" i="2011" s="1"/>
  <c r="M23" i="2011"/>
  <c r="AB23" i="2011"/>
  <c r="O12" i="2011"/>
  <c r="O18" i="2011"/>
  <c r="O23" i="2011"/>
  <c r="O9" i="2011"/>
  <c r="M7" i="2011"/>
  <c r="M14" i="2011"/>
  <c r="M20" i="2011"/>
  <c r="P21" i="2010"/>
  <c r="AC21" i="2010" s="1"/>
  <c r="M12" i="2010"/>
  <c r="O17" i="2010"/>
  <c r="P7" i="2010"/>
  <c r="AC7" i="2010" s="1"/>
  <c r="P6" i="2010"/>
  <c r="P14" i="2010"/>
  <c r="AC14" i="2010" s="1"/>
  <c r="AB12" i="2010"/>
  <c r="AB17" i="2010"/>
  <c r="K12" i="2010"/>
  <c r="AB7" i="2010"/>
  <c r="AD7" i="2010" s="1"/>
  <c r="K7" i="2010"/>
  <c r="AD28" i="2010"/>
  <c r="O9" i="2010"/>
  <c r="AB13" i="2010"/>
  <c r="AD24" i="2010"/>
  <c r="O10" i="2010"/>
  <c r="AD10" i="2010" s="1"/>
  <c r="O13" i="2010"/>
  <c r="AF70" i="2010"/>
  <c r="K9" i="2010"/>
  <c r="K29" i="2010" s="1"/>
  <c r="P9" i="2010"/>
  <c r="AC9" i="2010" s="1"/>
  <c r="P13" i="2010"/>
  <c r="AC13" i="2010" s="1"/>
  <c r="Q29" i="2010"/>
  <c r="K6" i="2010"/>
  <c r="AB6" i="2010"/>
  <c r="AD21" i="2010"/>
  <c r="AD26" i="2010"/>
  <c r="AD23" i="2010"/>
  <c r="AD27" i="2010"/>
  <c r="AD11" i="2010"/>
  <c r="AD12" i="2010"/>
  <c r="AD19" i="2010"/>
  <c r="AD22" i="2010"/>
  <c r="AD25" i="2010"/>
  <c r="AD17" i="2010"/>
  <c r="AD15" i="2010"/>
  <c r="AD16" i="2010"/>
  <c r="AD13" i="2010"/>
  <c r="AB8" i="2010"/>
  <c r="O6" i="2010"/>
  <c r="AC6" i="2010"/>
  <c r="P8" i="2010"/>
  <c r="AC8" i="2010" s="1"/>
  <c r="M10" i="2010"/>
  <c r="M13" i="2010"/>
  <c r="O14" i="2010"/>
  <c r="P18" i="2010"/>
  <c r="AC18" i="2010" s="1"/>
  <c r="P20" i="2010"/>
  <c r="AC20" i="2010" s="1"/>
  <c r="L29" i="2010"/>
  <c r="O29" i="2010" s="1"/>
  <c r="M18" i="2010"/>
  <c r="AB18" i="2010"/>
  <c r="M20" i="2010"/>
  <c r="AB20" i="2010"/>
  <c r="M8" i="2010"/>
  <c r="M6" i="2010"/>
  <c r="M14" i="2010"/>
  <c r="P21" i="2009"/>
  <c r="AC21" i="2009" s="1"/>
  <c r="AD21" i="2009" s="1"/>
  <c r="O9" i="2009"/>
  <c r="O19" i="2009"/>
  <c r="P19" i="2009"/>
  <c r="AC19" i="2009" s="1"/>
  <c r="AD19" i="2009" s="1"/>
  <c r="K19" i="2009"/>
  <c r="AD16" i="2009"/>
  <c r="AB8" i="2009"/>
  <c r="AD11" i="2009"/>
  <c r="O12" i="2009"/>
  <c r="O13" i="2009"/>
  <c r="AD23" i="2009"/>
  <c r="AD28" i="2009"/>
  <c r="AB12" i="2009"/>
  <c r="AD29" i="2009"/>
  <c r="M7" i="2009"/>
  <c r="O8" i="2009"/>
  <c r="P12" i="2009"/>
  <c r="AC12" i="2009" s="1"/>
  <c r="AD12" i="2009" s="1"/>
  <c r="O7" i="2009"/>
  <c r="AD25" i="2009"/>
  <c r="AD27" i="2009"/>
  <c r="AF71" i="2009"/>
  <c r="P7" i="2009"/>
  <c r="AC7" i="2009" s="1"/>
  <c r="AD7" i="2009" s="1"/>
  <c r="AB7" i="2009"/>
  <c r="Q30" i="2009"/>
  <c r="P6" i="2009"/>
  <c r="AC6" i="2009" s="1"/>
  <c r="AD18" i="2009"/>
  <c r="AD26" i="2009"/>
  <c r="AD14" i="2009"/>
  <c r="AD24" i="2009"/>
  <c r="AD10" i="2009"/>
  <c r="AD15" i="2009"/>
  <c r="AD8" i="2009"/>
  <c r="P9" i="2009"/>
  <c r="AC9" i="2009" s="1"/>
  <c r="P13" i="2009"/>
  <c r="AC13" i="2009" s="1"/>
  <c r="P20" i="2009"/>
  <c r="AC20" i="2009" s="1"/>
  <c r="L30" i="2009"/>
  <c r="O30" i="2009" s="1"/>
  <c r="O6" i="2009"/>
  <c r="M9" i="2009"/>
  <c r="AB9" i="2009"/>
  <c r="M13" i="2009"/>
  <c r="AB13" i="2009"/>
  <c r="O17" i="2009"/>
  <c r="AD17" i="2009" s="1"/>
  <c r="M20" i="2009"/>
  <c r="AB20" i="2009"/>
  <c r="O22" i="2009"/>
  <c r="AD22" i="2009" s="1"/>
  <c r="M8" i="2009"/>
  <c r="M12" i="2009"/>
  <c r="M19" i="2009"/>
  <c r="AD28" i="2008"/>
  <c r="K18" i="2008"/>
  <c r="P14" i="2008"/>
  <c r="AC14" i="2008" s="1"/>
  <c r="AD12" i="2008"/>
  <c r="AD25" i="2008"/>
  <c r="K6" i="2008"/>
  <c r="AB6" i="2008"/>
  <c r="AB9" i="2008"/>
  <c r="AD23" i="2008"/>
  <c r="AD26" i="2008"/>
  <c r="AD15" i="2008"/>
  <c r="AD21" i="2008"/>
  <c r="AD27" i="2008"/>
  <c r="AD17" i="2008"/>
  <c r="AD20" i="2008"/>
  <c r="AD24" i="2008"/>
  <c r="Q29" i="2008"/>
  <c r="M9" i="2008"/>
  <c r="O9" i="2008"/>
  <c r="AD7" i="2008"/>
  <c r="P6" i="2008"/>
  <c r="AC6" i="2008" s="1"/>
  <c r="AD6" i="2008" s="1"/>
  <c r="AD11" i="2008"/>
  <c r="AD13" i="2008"/>
  <c r="AD18" i="2008"/>
  <c r="O8" i="2008"/>
  <c r="AD8" i="2008" s="1"/>
  <c r="P9" i="2008"/>
  <c r="AC9" i="2008" s="1"/>
  <c r="M14" i="2008"/>
  <c r="AB14" i="2008"/>
  <c r="M19" i="2008"/>
  <c r="AB19" i="2008"/>
  <c r="M22" i="2008"/>
  <c r="AB22" i="2008"/>
  <c r="L29" i="2008"/>
  <c r="O29" i="2008" s="1"/>
  <c r="K29" i="2008"/>
  <c r="O14" i="2008"/>
  <c r="O19" i="2008"/>
  <c r="O22" i="2008"/>
  <c r="K20" i="2007"/>
  <c r="K19" i="2007"/>
  <c r="K18" i="2007"/>
  <c r="K16" i="2007"/>
  <c r="K13" i="2007"/>
  <c r="K11" i="2007"/>
  <c r="K9" i="2007"/>
  <c r="K8" i="2007"/>
  <c r="K7" i="2007"/>
  <c r="K6" i="2007"/>
  <c r="A83" i="2007"/>
  <c r="A84" i="2007" s="1"/>
  <c r="A85" i="2007" s="1"/>
  <c r="A86" i="2007" s="1"/>
  <c r="A87" i="2007" s="1"/>
  <c r="A88" i="2007" s="1"/>
  <c r="AF67" i="2007"/>
  <c r="AF69" i="2007" s="1"/>
  <c r="AF66" i="2007"/>
  <c r="AA28" i="2007"/>
  <c r="Z28" i="2007"/>
  <c r="Y28" i="2007"/>
  <c r="X28" i="2007"/>
  <c r="W28" i="2007"/>
  <c r="V28" i="2007"/>
  <c r="U28" i="2007"/>
  <c r="T28" i="2007"/>
  <c r="S28" i="2007"/>
  <c r="R28" i="2007"/>
  <c r="N28" i="2007"/>
  <c r="J28" i="2007"/>
  <c r="I28" i="2007"/>
  <c r="AF27" i="2007"/>
  <c r="AB27" i="2007"/>
  <c r="Q27" i="2007"/>
  <c r="P27" i="2007"/>
  <c r="AC27" i="2007" s="1"/>
  <c r="O27" i="2007"/>
  <c r="M27" i="2007"/>
  <c r="K27" i="2007"/>
  <c r="AF26" i="2007"/>
  <c r="AB26" i="2007"/>
  <c r="Q26" i="2007"/>
  <c r="P26" i="2007"/>
  <c r="AC26" i="2007" s="1"/>
  <c r="O26" i="2007"/>
  <c r="M26" i="2007"/>
  <c r="K26" i="2007"/>
  <c r="AF25" i="2007"/>
  <c r="AB25" i="2007"/>
  <c r="Q25" i="2007"/>
  <c r="P25" i="2007"/>
  <c r="AC25" i="2007" s="1"/>
  <c r="O25" i="2007"/>
  <c r="M25" i="2007"/>
  <c r="K25" i="2007"/>
  <c r="AF24" i="2007"/>
  <c r="AB24" i="2007"/>
  <c r="Q24" i="2007"/>
  <c r="P24" i="2007"/>
  <c r="AC24" i="2007" s="1"/>
  <c r="AD24" i="2007" s="1"/>
  <c r="K21" i="16" s="1"/>
  <c r="O24" i="2007"/>
  <c r="M24" i="2007"/>
  <c r="K24" i="2007"/>
  <c r="AF23" i="2007"/>
  <c r="AB23" i="2007"/>
  <c r="Q23" i="2007"/>
  <c r="P23" i="2007"/>
  <c r="AC23" i="2007" s="1"/>
  <c r="O23" i="2007"/>
  <c r="M23" i="2007"/>
  <c r="K23" i="2007"/>
  <c r="AF22" i="2007"/>
  <c r="AB22" i="2007"/>
  <c r="Q22" i="2007"/>
  <c r="P22" i="2007"/>
  <c r="AC22" i="2007" s="1"/>
  <c r="O22" i="2007"/>
  <c r="M22" i="2007"/>
  <c r="K22" i="2007"/>
  <c r="AF21" i="2007"/>
  <c r="AB21" i="2007"/>
  <c r="Q21" i="2007"/>
  <c r="P21" i="2007" s="1"/>
  <c r="AC21" i="2007" s="1"/>
  <c r="O21" i="2007"/>
  <c r="M21" i="2007"/>
  <c r="AF20" i="2007"/>
  <c r="Q20" i="2007"/>
  <c r="P20" i="2007" s="1"/>
  <c r="AC20" i="2007" s="1"/>
  <c r="O20" i="2007"/>
  <c r="AB20" i="2007"/>
  <c r="AF19" i="2007"/>
  <c r="AB19" i="2007"/>
  <c r="Q19" i="2007"/>
  <c r="P19" i="2007"/>
  <c r="AC19" i="2007" s="1"/>
  <c r="AD19" i="2007" s="1"/>
  <c r="O19" i="2007"/>
  <c r="M19" i="2007"/>
  <c r="AF18" i="2007"/>
  <c r="Q18" i="2007"/>
  <c r="P18" i="2007"/>
  <c r="AC18" i="2007" s="1"/>
  <c r="AF17" i="2007"/>
  <c r="AB17" i="2007"/>
  <c r="Q17" i="2007"/>
  <c r="P17" i="2007" s="1"/>
  <c r="AC17" i="2007" s="1"/>
  <c r="O17" i="2007"/>
  <c r="M17" i="2007"/>
  <c r="AF16" i="2007"/>
  <c r="AB16" i="2007"/>
  <c r="Q16" i="2007"/>
  <c r="P16" i="2007"/>
  <c r="AC16" i="2007" s="1"/>
  <c r="AD16" i="2007" s="1"/>
  <c r="O16" i="2007"/>
  <c r="M16" i="2007"/>
  <c r="AF15" i="2007"/>
  <c r="AC15" i="2007"/>
  <c r="AD15" i="2007" s="1"/>
  <c r="AB15" i="2007"/>
  <c r="Q15" i="2007"/>
  <c r="P15" i="2007"/>
  <c r="O15" i="2007"/>
  <c r="M15" i="2007"/>
  <c r="K15" i="2007"/>
  <c r="AF14" i="2007"/>
  <c r="AC14" i="2007"/>
  <c r="AB14" i="2007"/>
  <c r="Q14" i="2007"/>
  <c r="P14" i="2007"/>
  <c r="O14" i="2007"/>
  <c r="M14" i="2007"/>
  <c r="K14" i="2007"/>
  <c r="AF13" i="2007"/>
  <c r="Q13" i="2007"/>
  <c r="P13" i="2007"/>
  <c r="AC13" i="2007" s="1"/>
  <c r="AF12" i="2007"/>
  <c r="Q12" i="2007"/>
  <c r="P12" i="2007"/>
  <c r="AC12" i="2007" s="1"/>
  <c r="O12" i="2007"/>
  <c r="AF11" i="2007"/>
  <c r="Q11" i="2007"/>
  <c r="P11" i="2007"/>
  <c r="AC11" i="2007" s="1"/>
  <c r="O11" i="2007"/>
  <c r="AB11" i="2007"/>
  <c r="AF10" i="2007"/>
  <c r="AB10" i="2007"/>
  <c r="Q10" i="2007"/>
  <c r="P10" i="2007"/>
  <c r="AC10" i="2007" s="1"/>
  <c r="AD10" i="2007" s="1"/>
  <c r="O10" i="2007"/>
  <c r="M10" i="2007"/>
  <c r="K10" i="2007"/>
  <c r="AF9" i="2007"/>
  <c r="Q9" i="2007"/>
  <c r="P9" i="2007" s="1"/>
  <c r="AC9" i="2007" s="1"/>
  <c r="O9" i="2007"/>
  <c r="AF8" i="2007"/>
  <c r="Q8" i="2007"/>
  <c r="P8" i="2007" s="1"/>
  <c r="AC8" i="2007" s="1"/>
  <c r="O8" i="2007"/>
  <c r="AB8" i="2007"/>
  <c r="AF7" i="2007"/>
  <c r="AB7" i="2007"/>
  <c r="Q7" i="2007"/>
  <c r="P7" i="2007" s="1"/>
  <c r="AC7" i="2007" s="1"/>
  <c r="O7" i="2007"/>
  <c r="M7" i="2007"/>
  <c r="AF6" i="2007"/>
  <c r="Q6" i="2007"/>
  <c r="P6" i="2007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L20" i="2006"/>
  <c r="K20" i="2006" s="1"/>
  <c r="L19" i="2006"/>
  <c r="K19" i="2006" s="1"/>
  <c r="L18" i="2006"/>
  <c r="M18" i="2006" s="1"/>
  <c r="L16" i="2006"/>
  <c r="AB16" i="2006" s="1"/>
  <c r="K16" i="2006"/>
  <c r="L13" i="2006"/>
  <c r="K13" i="2006" s="1"/>
  <c r="L12" i="2006"/>
  <c r="M12" i="2006" s="1"/>
  <c r="L11" i="2006"/>
  <c r="L9" i="2006"/>
  <c r="AB9" i="2006" s="1"/>
  <c r="L8" i="2006"/>
  <c r="L7" i="2006"/>
  <c r="O7" i="2006" s="1"/>
  <c r="L6" i="2006"/>
  <c r="M6" i="2006" s="1"/>
  <c r="K21" i="2006"/>
  <c r="K18" i="2006"/>
  <c r="K17" i="2006"/>
  <c r="K12" i="2006"/>
  <c r="K11" i="2006"/>
  <c r="K8" i="2006"/>
  <c r="K7" i="2006"/>
  <c r="K6" i="2006"/>
  <c r="A83" i="2006"/>
  <c r="A84" i="2006" s="1"/>
  <c r="A85" i="2006" s="1"/>
  <c r="A86" i="2006" s="1"/>
  <c r="A87" i="2006" s="1"/>
  <c r="A88" i="2006" s="1"/>
  <c r="AF69" i="2006"/>
  <c r="AF67" i="2006"/>
  <c r="AF66" i="2006"/>
  <c r="AA28" i="2006"/>
  <c r="Z28" i="2006"/>
  <c r="Y28" i="2006"/>
  <c r="X28" i="2006"/>
  <c r="W28" i="2006"/>
  <c r="V28" i="2006"/>
  <c r="U28" i="2006"/>
  <c r="T28" i="2006"/>
  <c r="S28" i="2006"/>
  <c r="R28" i="2006"/>
  <c r="N28" i="2006"/>
  <c r="J28" i="2006"/>
  <c r="I28" i="2006"/>
  <c r="AF27" i="2006"/>
  <c r="AB27" i="2006"/>
  <c r="Q27" i="2006"/>
  <c r="P27" i="2006"/>
  <c r="AC27" i="2006" s="1"/>
  <c r="AD27" i="2006" s="1"/>
  <c r="O27" i="2006"/>
  <c r="M27" i="2006"/>
  <c r="K27" i="2006"/>
  <c r="AF26" i="2006"/>
  <c r="AC26" i="2006"/>
  <c r="AD26" i="2006" s="1"/>
  <c r="AB26" i="2006"/>
  <c r="Q26" i="2006"/>
  <c r="P26" i="2006"/>
  <c r="O26" i="2006"/>
  <c r="M26" i="2006"/>
  <c r="K26" i="2006"/>
  <c r="AF25" i="2006"/>
  <c r="AB25" i="2006"/>
  <c r="Q25" i="2006"/>
  <c r="P25" i="2006"/>
  <c r="AC25" i="2006" s="1"/>
  <c r="AD25" i="2006" s="1"/>
  <c r="O25" i="2006"/>
  <c r="M25" i="2006"/>
  <c r="K25" i="2006"/>
  <c r="AF24" i="2006"/>
  <c r="AC24" i="2006"/>
  <c r="AD24" i="2006" s="1"/>
  <c r="AB24" i="2006"/>
  <c r="Q24" i="2006"/>
  <c r="P24" i="2006"/>
  <c r="O24" i="2006"/>
  <c r="M24" i="2006"/>
  <c r="K24" i="2006"/>
  <c r="AF23" i="2006"/>
  <c r="AB23" i="2006"/>
  <c r="Q23" i="2006"/>
  <c r="P23" i="2006"/>
  <c r="AC23" i="2006" s="1"/>
  <c r="AD23" i="2006" s="1"/>
  <c r="O23" i="2006"/>
  <c r="M23" i="2006"/>
  <c r="K23" i="2006"/>
  <c r="AF22" i="2006"/>
  <c r="AC22" i="2006"/>
  <c r="AD22" i="2006" s="1"/>
  <c r="AB22" i="2006"/>
  <c r="Q22" i="2006"/>
  <c r="P22" i="2006"/>
  <c r="O22" i="2006"/>
  <c r="M22" i="2006"/>
  <c r="K22" i="2006"/>
  <c r="AF21" i="2006"/>
  <c r="Q21" i="2006"/>
  <c r="P21" i="2006"/>
  <c r="AC21" i="2006" s="1"/>
  <c r="AF20" i="2006"/>
  <c r="Q20" i="2006"/>
  <c r="AF19" i="2006"/>
  <c r="Q19" i="2006"/>
  <c r="O19" i="2006"/>
  <c r="AB19" i="2006"/>
  <c r="AF18" i="2006"/>
  <c r="AB18" i="2006"/>
  <c r="Q18" i="2006"/>
  <c r="AF17" i="2006"/>
  <c r="Q17" i="2006"/>
  <c r="P17" i="2006"/>
  <c r="AC17" i="2006" s="1"/>
  <c r="AF16" i="2006"/>
  <c r="Q16" i="2006"/>
  <c r="P16" i="2006" s="1"/>
  <c r="AC16" i="2006" s="1"/>
  <c r="O16" i="2006"/>
  <c r="AF15" i="2006"/>
  <c r="AB15" i="2006"/>
  <c r="Q15" i="2006"/>
  <c r="P15" i="2006"/>
  <c r="AC15" i="2006" s="1"/>
  <c r="AD15" i="2006" s="1"/>
  <c r="O15" i="2006"/>
  <c r="M15" i="2006"/>
  <c r="K15" i="2006"/>
  <c r="AF14" i="2006"/>
  <c r="AB14" i="2006"/>
  <c r="Q14" i="2006"/>
  <c r="P14" i="2006"/>
  <c r="AC14" i="2006" s="1"/>
  <c r="AD14" i="2006" s="1"/>
  <c r="O14" i="2006"/>
  <c r="M14" i="2006"/>
  <c r="K14" i="2006"/>
  <c r="AF13" i="2006"/>
  <c r="Q13" i="2006"/>
  <c r="AF12" i="2006"/>
  <c r="AB12" i="2006"/>
  <c r="Q12" i="2006"/>
  <c r="AF11" i="2006"/>
  <c r="Q11" i="2006"/>
  <c r="P11" i="2006" s="1"/>
  <c r="AC11" i="2006" s="1"/>
  <c r="AF10" i="2006"/>
  <c r="AB10" i="2006"/>
  <c r="Q10" i="2006"/>
  <c r="P10" i="2006"/>
  <c r="AC10" i="2006" s="1"/>
  <c r="O10" i="2006"/>
  <c r="M10" i="2006"/>
  <c r="K10" i="2006"/>
  <c r="AF9" i="2006"/>
  <c r="Q9" i="2006"/>
  <c r="O9" i="2006"/>
  <c r="M9" i="2006"/>
  <c r="AF8" i="2006"/>
  <c r="Q8" i="2006"/>
  <c r="AF7" i="2006"/>
  <c r="AB7" i="2006"/>
  <c r="Q7" i="2006"/>
  <c r="P7" i="2006"/>
  <c r="AC7" i="2006" s="1"/>
  <c r="AF6" i="2006"/>
  <c r="AB6" i="2006"/>
  <c r="Q6" i="2006"/>
  <c r="P6" i="200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L21" i="2005"/>
  <c r="L20" i="2005"/>
  <c r="L19" i="2005"/>
  <c r="AB19" i="2005" s="1"/>
  <c r="K19" i="2005"/>
  <c r="L18" i="2005"/>
  <c r="L17" i="2005"/>
  <c r="K17" i="2005" s="1"/>
  <c r="L16" i="2005"/>
  <c r="K16" i="2005" s="1"/>
  <c r="L13" i="2005"/>
  <c r="K13" i="2005" s="1"/>
  <c r="L12" i="2005"/>
  <c r="O12" i="2005" s="1"/>
  <c r="L11" i="2005"/>
  <c r="L8" i="2005"/>
  <c r="O8" i="2005" s="1"/>
  <c r="AF8" i="2005"/>
  <c r="Q8" i="2005"/>
  <c r="P8" i="2005" s="1"/>
  <c r="AC8" i="2005" s="1"/>
  <c r="K8" i="2005"/>
  <c r="L7" i="2005"/>
  <c r="K7" i="2005" s="1"/>
  <c r="L6" i="2005"/>
  <c r="K21" i="2005"/>
  <c r="K20" i="2005"/>
  <c r="K18" i="2005"/>
  <c r="K12" i="2005"/>
  <c r="K11" i="2005"/>
  <c r="K9" i="2005"/>
  <c r="K6" i="2005"/>
  <c r="A85" i="2005"/>
  <c r="A86" i="2005" s="1"/>
  <c r="A87" i="2005" s="1"/>
  <c r="A88" i="2005" s="1"/>
  <c r="A84" i="2005"/>
  <c r="A83" i="2005"/>
  <c r="AF67" i="2005"/>
  <c r="AF66" i="2005"/>
  <c r="AF69" i="2005" s="1"/>
  <c r="AA28" i="2005"/>
  <c r="Z28" i="2005"/>
  <c r="Y28" i="2005"/>
  <c r="X28" i="2005"/>
  <c r="W28" i="2005"/>
  <c r="V28" i="2005"/>
  <c r="U28" i="2005"/>
  <c r="T28" i="2005"/>
  <c r="S28" i="2005"/>
  <c r="R28" i="2005"/>
  <c r="N28" i="2005"/>
  <c r="J28" i="2005"/>
  <c r="I28" i="2005"/>
  <c r="AF27" i="2005"/>
  <c r="AB27" i="2005"/>
  <c r="Q27" i="2005"/>
  <c r="P27" i="2005"/>
  <c r="AC27" i="2005" s="1"/>
  <c r="AD27" i="2005" s="1"/>
  <c r="O27" i="2005"/>
  <c r="M27" i="2005"/>
  <c r="K27" i="2005"/>
  <c r="AF26" i="2005"/>
  <c r="AB26" i="2005"/>
  <c r="Q26" i="2005"/>
  <c r="P26" i="2005"/>
  <c r="AC26" i="2005" s="1"/>
  <c r="AD26" i="2005" s="1"/>
  <c r="O26" i="2005"/>
  <c r="M26" i="2005"/>
  <c r="K26" i="2005"/>
  <c r="AF25" i="2005"/>
  <c r="AB25" i="2005"/>
  <c r="Q25" i="2005"/>
  <c r="P25" i="2005"/>
  <c r="AC25" i="2005" s="1"/>
  <c r="AD25" i="2005" s="1"/>
  <c r="O25" i="2005"/>
  <c r="M25" i="2005"/>
  <c r="K25" i="2005"/>
  <c r="AF24" i="2005"/>
  <c r="AB24" i="2005"/>
  <c r="Q24" i="2005"/>
  <c r="P24" i="2005"/>
  <c r="AC24" i="2005" s="1"/>
  <c r="AD24" i="2005" s="1"/>
  <c r="O24" i="2005"/>
  <c r="M24" i="2005"/>
  <c r="K24" i="2005"/>
  <c r="AF23" i="2005"/>
  <c r="AB23" i="2005"/>
  <c r="Q23" i="2005"/>
  <c r="P23" i="2005"/>
  <c r="AC23" i="2005" s="1"/>
  <c r="AD23" i="2005" s="1"/>
  <c r="O23" i="2005"/>
  <c r="M23" i="2005"/>
  <c r="K23" i="2005"/>
  <c r="AF22" i="2005"/>
  <c r="AB22" i="2005"/>
  <c r="Q22" i="2005"/>
  <c r="P22" i="2005"/>
  <c r="AC22" i="2005" s="1"/>
  <c r="AD22" i="2005" s="1"/>
  <c r="O22" i="2005"/>
  <c r="M22" i="2005"/>
  <c r="K22" i="2005"/>
  <c r="AF21" i="2005"/>
  <c r="AB21" i="2005"/>
  <c r="Q21" i="2005"/>
  <c r="P21" i="2005"/>
  <c r="AC21" i="2005" s="1"/>
  <c r="AD21" i="2005" s="1"/>
  <c r="M21" i="2005"/>
  <c r="O21" i="2005"/>
  <c r="AF20" i="2005"/>
  <c r="Q20" i="2005"/>
  <c r="P20" i="2005"/>
  <c r="AC20" i="2005" s="1"/>
  <c r="AF19" i="2005"/>
  <c r="Q19" i="2005"/>
  <c r="P19" i="2005"/>
  <c r="AC19" i="2005" s="1"/>
  <c r="M19" i="2005"/>
  <c r="AF18" i="2005"/>
  <c r="Q18" i="2005"/>
  <c r="O18" i="2005"/>
  <c r="AB18" i="2005"/>
  <c r="AF17" i="2005"/>
  <c r="AB17" i="2005"/>
  <c r="Q17" i="2005"/>
  <c r="P17" i="2005"/>
  <c r="AC17" i="2005" s="1"/>
  <c r="M17" i="2005"/>
  <c r="O17" i="2005"/>
  <c r="AF16" i="2005"/>
  <c r="Q16" i="2005"/>
  <c r="AF15" i="2005"/>
  <c r="AB15" i="2005"/>
  <c r="Q15" i="2005"/>
  <c r="P15" i="2005"/>
  <c r="AC15" i="2005" s="1"/>
  <c r="AD15" i="2005" s="1"/>
  <c r="O15" i="2005"/>
  <c r="M15" i="2005"/>
  <c r="K15" i="2005"/>
  <c r="AF14" i="2005"/>
  <c r="AB14" i="2005"/>
  <c r="Q14" i="2005"/>
  <c r="P14" i="2005"/>
  <c r="AC14" i="2005" s="1"/>
  <c r="AD14" i="2005" s="1"/>
  <c r="O14" i="2005"/>
  <c r="M14" i="2005"/>
  <c r="K14" i="2005"/>
  <c r="AF13" i="2005"/>
  <c r="AB13" i="2005"/>
  <c r="Q13" i="2005"/>
  <c r="P13" i="2005" s="1"/>
  <c r="AC13" i="2005" s="1"/>
  <c r="M13" i="2005"/>
  <c r="AF12" i="2005"/>
  <c r="AB12" i="2005"/>
  <c r="Q12" i="2005"/>
  <c r="P12" i="2005"/>
  <c r="AC12" i="2005" s="1"/>
  <c r="M12" i="2005"/>
  <c r="AF11" i="2005"/>
  <c r="Q11" i="2005"/>
  <c r="P11" i="2005" s="1"/>
  <c r="AC11" i="2005" s="1"/>
  <c r="O11" i="2005"/>
  <c r="AF10" i="2005"/>
  <c r="AB10" i="2005"/>
  <c r="Q10" i="2005"/>
  <c r="P10" i="2005"/>
  <c r="AC10" i="2005" s="1"/>
  <c r="AD10" i="2005" s="1"/>
  <c r="O10" i="2005"/>
  <c r="M10" i="2005"/>
  <c r="K10" i="2005"/>
  <c r="AF9" i="2005"/>
  <c r="AB9" i="2005"/>
  <c r="Q9" i="2005"/>
  <c r="P9" i="2005"/>
  <c r="AC9" i="2005" s="1"/>
  <c r="O9" i="2005"/>
  <c r="M9" i="2005"/>
  <c r="AF7" i="2005"/>
  <c r="Q7" i="2005"/>
  <c r="AB7" i="2005"/>
  <c r="AF6" i="2005"/>
  <c r="AB6" i="2005"/>
  <c r="Q6" i="2005"/>
  <c r="P6" i="2005"/>
  <c r="AC6" i="2005" s="1"/>
  <c r="O6" i="2005"/>
  <c r="M6" i="2005"/>
  <c r="L28" i="2005"/>
  <c r="O28" i="2005" s="1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L21" i="2004"/>
  <c r="L20" i="2004"/>
  <c r="L19" i="2004"/>
  <c r="M19" i="2004" s="1"/>
  <c r="K19" i="2004"/>
  <c r="L18" i="2004"/>
  <c r="K18" i="2004" s="1"/>
  <c r="L17" i="2004"/>
  <c r="K17" i="2004" s="1"/>
  <c r="L16" i="2004"/>
  <c r="K16" i="2004" s="1"/>
  <c r="L12" i="2004"/>
  <c r="K12" i="2004" s="1"/>
  <c r="L11" i="2004"/>
  <c r="L8" i="2004"/>
  <c r="K8" i="2004" s="1"/>
  <c r="L7" i="2004"/>
  <c r="K7" i="2004"/>
  <c r="L6" i="2004"/>
  <c r="K6" i="2004" s="1"/>
  <c r="K24" i="2004"/>
  <c r="K21" i="2004"/>
  <c r="K20" i="2004"/>
  <c r="K9" i="2004"/>
  <c r="A83" i="2004"/>
  <c r="A84" i="2004" s="1"/>
  <c r="A85" i="2004" s="1"/>
  <c r="A86" i="2004" s="1"/>
  <c r="A87" i="2004" s="1"/>
  <c r="A88" i="2004" s="1"/>
  <c r="AF69" i="2004"/>
  <c r="AF67" i="2004"/>
  <c r="AF66" i="2004"/>
  <c r="AA28" i="2004"/>
  <c r="Z28" i="2004"/>
  <c r="Y28" i="2004"/>
  <c r="X28" i="2004"/>
  <c r="W28" i="2004"/>
  <c r="V28" i="2004"/>
  <c r="U28" i="2004"/>
  <c r="T28" i="2004"/>
  <c r="S28" i="2004"/>
  <c r="R28" i="2004"/>
  <c r="N28" i="2004"/>
  <c r="J28" i="2004"/>
  <c r="I28" i="2004"/>
  <c r="AF27" i="2004"/>
  <c r="AB27" i="2004"/>
  <c r="Q27" i="2004"/>
  <c r="P27" i="2004"/>
  <c r="AC27" i="2004" s="1"/>
  <c r="O27" i="2004"/>
  <c r="M27" i="2004"/>
  <c r="K27" i="2004"/>
  <c r="AF26" i="2004"/>
  <c r="AB26" i="2004"/>
  <c r="Q26" i="2004"/>
  <c r="P26" i="2004"/>
  <c r="AC26" i="2004" s="1"/>
  <c r="O26" i="2004"/>
  <c r="M26" i="2004"/>
  <c r="K26" i="2004"/>
  <c r="AF25" i="2004"/>
  <c r="AB25" i="2004"/>
  <c r="Q25" i="2004"/>
  <c r="P25" i="2004"/>
  <c r="AC25" i="2004" s="1"/>
  <c r="O25" i="2004"/>
  <c r="M25" i="2004"/>
  <c r="K25" i="2004"/>
  <c r="AF24" i="2004"/>
  <c r="AB24" i="2004"/>
  <c r="Q24" i="2004"/>
  <c r="P24" i="2004" s="1"/>
  <c r="AC24" i="2004" s="1"/>
  <c r="O24" i="2004"/>
  <c r="M24" i="2004"/>
  <c r="AF23" i="2004"/>
  <c r="AB23" i="2004"/>
  <c r="Q23" i="2004"/>
  <c r="P23" i="2004"/>
  <c r="AC23" i="2004" s="1"/>
  <c r="O23" i="2004"/>
  <c r="M23" i="2004"/>
  <c r="K23" i="2004"/>
  <c r="AF22" i="2004"/>
  <c r="AB22" i="2004"/>
  <c r="Q22" i="2004"/>
  <c r="P22" i="2004"/>
  <c r="AC22" i="2004" s="1"/>
  <c r="AD22" i="2004" s="1"/>
  <c r="O22" i="2004"/>
  <c r="M22" i="2004"/>
  <c r="K22" i="2004"/>
  <c r="AF21" i="2004"/>
  <c r="Q21" i="2004"/>
  <c r="P21" i="2004"/>
  <c r="AC21" i="2004" s="1"/>
  <c r="O21" i="2004"/>
  <c r="AB21" i="2004"/>
  <c r="AF20" i="2004"/>
  <c r="AB20" i="2004"/>
  <c r="Q20" i="2004"/>
  <c r="O20" i="2004"/>
  <c r="M20" i="2004"/>
  <c r="P20" i="2004"/>
  <c r="AC20" i="2004" s="1"/>
  <c r="AF19" i="2004"/>
  <c r="AB19" i="2004"/>
  <c r="Q19" i="2004"/>
  <c r="P19" i="2004" s="1"/>
  <c r="AC19" i="2004" s="1"/>
  <c r="O19" i="2004"/>
  <c r="AF18" i="2004"/>
  <c r="Q18" i="2004"/>
  <c r="P18" i="2004"/>
  <c r="AC18" i="2004" s="1"/>
  <c r="O18" i="2004"/>
  <c r="AB18" i="2004"/>
  <c r="AF17" i="2004"/>
  <c r="AB17" i="2004"/>
  <c r="Q17" i="2004"/>
  <c r="P17" i="2004" s="1"/>
  <c r="AC17" i="2004" s="1"/>
  <c r="O17" i="2004"/>
  <c r="M17" i="2004"/>
  <c r="AF16" i="2004"/>
  <c r="Q16" i="2004"/>
  <c r="P16" i="2004" s="1"/>
  <c r="AC16" i="2004" s="1"/>
  <c r="AF15" i="2004"/>
  <c r="AB15" i="2004"/>
  <c r="Q15" i="2004"/>
  <c r="P15" i="2004"/>
  <c r="AC15" i="2004" s="1"/>
  <c r="AD15" i="2004" s="1"/>
  <c r="O15" i="2004"/>
  <c r="M15" i="2004"/>
  <c r="K15" i="2004"/>
  <c r="AF14" i="2004"/>
  <c r="AB14" i="2004"/>
  <c r="Q14" i="2004"/>
  <c r="P14" i="2004"/>
  <c r="AC14" i="2004" s="1"/>
  <c r="O14" i="2004"/>
  <c r="M14" i="2004"/>
  <c r="K14" i="2004"/>
  <c r="AF13" i="2004"/>
  <c r="AB13" i="2004"/>
  <c r="Q13" i="2004"/>
  <c r="P13" i="2004"/>
  <c r="AC13" i="2004" s="1"/>
  <c r="AD13" i="2004" s="1"/>
  <c r="O13" i="2004"/>
  <c r="M13" i="2004"/>
  <c r="K13" i="2004"/>
  <c r="AF12" i="2004"/>
  <c r="Q12" i="2004"/>
  <c r="AB12" i="2004"/>
  <c r="AF11" i="2004"/>
  <c r="AB11" i="2004"/>
  <c r="Q11" i="2004"/>
  <c r="P11" i="2004" s="1"/>
  <c r="AC11" i="2004" s="1"/>
  <c r="O11" i="2004"/>
  <c r="M11" i="2004"/>
  <c r="K11" i="2004"/>
  <c r="AF10" i="2004"/>
  <c r="AB10" i="2004"/>
  <c r="Q10" i="2004"/>
  <c r="P10" i="2004"/>
  <c r="AC10" i="2004" s="1"/>
  <c r="O10" i="2004"/>
  <c r="M10" i="2004"/>
  <c r="K10" i="2004"/>
  <c r="AF9" i="2004"/>
  <c r="AB9" i="2004"/>
  <c r="Q9" i="2004"/>
  <c r="P9" i="2004" s="1"/>
  <c r="AC9" i="2004" s="1"/>
  <c r="O9" i="2004"/>
  <c r="M9" i="2004"/>
  <c r="AF8" i="2004"/>
  <c r="Q8" i="2004"/>
  <c r="AF7" i="2004"/>
  <c r="AB7" i="2004"/>
  <c r="Q7" i="2004"/>
  <c r="P7" i="2004" s="1"/>
  <c r="AC7" i="2004" s="1"/>
  <c r="O7" i="2004"/>
  <c r="M7" i="2004"/>
  <c r="AF6" i="2004"/>
  <c r="AB6" i="2004"/>
  <c r="Q6" i="2004"/>
  <c r="O6" i="2004"/>
  <c r="M6" i="2004"/>
  <c r="P6" i="2004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L22" i="2003"/>
  <c r="L21" i="2003"/>
  <c r="K21" i="2003" s="1"/>
  <c r="L19" i="2003"/>
  <c r="L18" i="2003"/>
  <c r="K18" i="2003" s="1"/>
  <c r="AF18" i="2003"/>
  <c r="AB18" i="2003"/>
  <c r="Q18" i="2003"/>
  <c r="O18" i="2003"/>
  <c r="M18" i="2003"/>
  <c r="L16" i="2003"/>
  <c r="O16" i="2003" s="1"/>
  <c r="L12" i="2003"/>
  <c r="K12" i="2003" s="1"/>
  <c r="L9" i="2003"/>
  <c r="K9" i="2003" s="1"/>
  <c r="L6" i="2003"/>
  <c r="K6" i="2003" s="1"/>
  <c r="K25" i="2003"/>
  <c r="K22" i="2003"/>
  <c r="K19" i="2003"/>
  <c r="K17" i="2003"/>
  <c r="K16" i="2003"/>
  <c r="K11" i="2003"/>
  <c r="K8" i="2003"/>
  <c r="A84" i="2003"/>
  <c r="A85" i="2003" s="1"/>
  <c r="A86" i="2003" s="1"/>
  <c r="A87" i="2003" s="1"/>
  <c r="A88" i="2003" s="1"/>
  <c r="A89" i="2003" s="1"/>
  <c r="AF68" i="2003"/>
  <c r="AF67" i="2003"/>
  <c r="AF70" i="2003" s="1"/>
  <c r="AA29" i="2003"/>
  <c r="Z29" i="2003"/>
  <c r="Y29" i="2003"/>
  <c r="X29" i="2003"/>
  <c r="W29" i="2003"/>
  <c r="V29" i="2003"/>
  <c r="U29" i="2003"/>
  <c r="T29" i="2003"/>
  <c r="S29" i="2003"/>
  <c r="R29" i="2003"/>
  <c r="N29" i="2003"/>
  <c r="J29" i="2003"/>
  <c r="I29" i="2003"/>
  <c r="AF28" i="2003"/>
  <c r="AB28" i="2003"/>
  <c r="Q28" i="2003"/>
  <c r="P28" i="2003"/>
  <c r="AC28" i="2003" s="1"/>
  <c r="AD28" i="2003" s="1"/>
  <c r="O28" i="2003"/>
  <c r="M28" i="2003"/>
  <c r="K28" i="2003"/>
  <c r="AF27" i="2003"/>
  <c r="AB27" i="2003"/>
  <c r="Q27" i="2003"/>
  <c r="P27" i="2003"/>
  <c r="AC27" i="2003" s="1"/>
  <c r="AD27" i="2003" s="1"/>
  <c r="O27" i="2003"/>
  <c r="M27" i="2003"/>
  <c r="K27" i="2003"/>
  <c r="AF26" i="2003"/>
  <c r="AB26" i="2003"/>
  <c r="Q26" i="2003"/>
  <c r="P26" i="2003"/>
  <c r="AC26" i="2003" s="1"/>
  <c r="O26" i="2003"/>
  <c r="M26" i="2003"/>
  <c r="K26" i="2003"/>
  <c r="AF25" i="2003"/>
  <c r="AB25" i="2003"/>
  <c r="Q25" i="2003"/>
  <c r="O25" i="2003"/>
  <c r="M25" i="2003"/>
  <c r="P25" i="2003"/>
  <c r="AC25" i="2003" s="1"/>
  <c r="AD25" i="2003" s="1"/>
  <c r="AF24" i="2003"/>
  <c r="AB24" i="2003"/>
  <c r="Q24" i="2003"/>
  <c r="P24" i="2003"/>
  <c r="AC24" i="2003" s="1"/>
  <c r="AD24" i="2003" s="1"/>
  <c r="O24" i="2003"/>
  <c r="M24" i="2003"/>
  <c r="K24" i="2003"/>
  <c r="AF23" i="2003"/>
  <c r="AB23" i="2003"/>
  <c r="Q23" i="2003"/>
  <c r="P23" i="2003"/>
  <c r="AC23" i="2003" s="1"/>
  <c r="O23" i="2003"/>
  <c r="M23" i="2003"/>
  <c r="K23" i="2003"/>
  <c r="AF22" i="2003"/>
  <c r="AB22" i="2003"/>
  <c r="Q22" i="2003"/>
  <c r="M22" i="2003"/>
  <c r="P22" i="2003"/>
  <c r="AC22" i="2003" s="1"/>
  <c r="AF21" i="2003"/>
  <c r="Q21" i="2003"/>
  <c r="P21" i="2003"/>
  <c r="AC21" i="2003" s="1"/>
  <c r="AF20" i="2003"/>
  <c r="AB20" i="2003"/>
  <c r="Q20" i="2003"/>
  <c r="P20" i="2003" s="1"/>
  <c r="AC20" i="2003" s="1"/>
  <c r="O20" i="2003"/>
  <c r="M20" i="2003"/>
  <c r="K20" i="2003"/>
  <c r="AF19" i="2003"/>
  <c r="AB19" i="2003"/>
  <c r="Q19" i="2003"/>
  <c r="M19" i="2003"/>
  <c r="P19" i="2003"/>
  <c r="AC19" i="2003" s="1"/>
  <c r="AF17" i="2003"/>
  <c r="Q17" i="2003"/>
  <c r="P17" i="2003" s="1"/>
  <c r="AC17" i="2003" s="1"/>
  <c r="AF16" i="2003"/>
  <c r="Q16" i="2003"/>
  <c r="P16" i="2003"/>
  <c r="AC16" i="2003" s="1"/>
  <c r="AF15" i="2003"/>
  <c r="AB15" i="2003"/>
  <c r="Q15" i="2003"/>
  <c r="P15" i="2003"/>
  <c r="AC15" i="2003" s="1"/>
  <c r="O15" i="2003"/>
  <c r="M15" i="2003"/>
  <c r="K15" i="2003"/>
  <c r="AF14" i="2003"/>
  <c r="AB14" i="2003"/>
  <c r="Q14" i="2003"/>
  <c r="P14" i="2003"/>
  <c r="AC14" i="2003" s="1"/>
  <c r="O14" i="2003"/>
  <c r="M14" i="2003"/>
  <c r="K14" i="2003"/>
  <c r="AF13" i="2003"/>
  <c r="AC13" i="2003"/>
  <c r="AB13" i="2003"/>
  <c r="Q13" i="2003"/>
  <c r="P13" i="2003"/>
  <c r="O13" i="2003"/>
  <c r="M13" i="2003"/>
  <c r="K13" i="2003"/>
  <c r="AF12" i="2003"/>
  <c r="Q12" i="2003"/>
  <c r="AF11" i="2003"/>
  <c r="AB11" i="2003"/>
  <c r="Q11" i="2003"/>
  <c r="P11" i="2003"/>
  <c r="AC11" i="2003" s="1"/>
  <c r="O11" i="2003"/>
  <c r="M11" i="2003"/>
  <c r="AF10" i="2003"/>
  <c r="AB10" i="2003"/>
  <c r="Q10" i="2003"/>
  <c r="P10" i="2003"/>
  <c r="AC10" i="2003" s="1"/>
  <c r="O10" i="2003"/>
  <c r="M10" i="2003"/>
  <c r="K10" i="2003"/>
  <c r="AF9" i="2003"/>
  <c r="Q9" i="2003"/>
  <c r="P9" i="2003"/>
  <c r="AC9" i="2003" s="1"/>
  <c r="AF8" i="2003"/>
  <c r="AB8" i="2003"/>
  <c r="Q8" i="2003"/>
  <c r="P8" i="2003"/>
  <c r="AC8" i="2003" s="1"/>
  <c r="O8" i="2003"/>
  <c r="M8" i="2003"/>
  <c r="AF7" i="2003"/>
  <c r="AC7" i="2003"/>
  <c r="AB7" i="2003"/>
  <c r="Q7" i="2003"/>
  <c r="P7" i="2003"/>
  <c r="O7" i="2003"/>
  <c r="M7" i="2003"/>
  <c r="K7" i="2003"/>
  <c r="AF6" i="2003"/>
  <c r="Q6" i="2003"/>
  <c r="P6" i="2003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L21" i="2002"/>
  <c r="K21" i="2002" s="1"/>
  <c r="L20" i="2002"/>
  <c r="K20" i="2002" s="1"/>
  <c r="K19" i="2002"/>
  <c r="L18" i="2002"/>
  <c r="K18" i="2002" s="1"/>
  <c r="L17" i="2002"/>
  <c r="L16" i="2002"/>
  <c r="L12" i="2002"/>
  <c r="K12" i="2002" s="1"/>
  <c r="L11" i="2002"/>
  <c r="K11" i="2002" s="1"/>
  <c r="L9" i="2002"/>
  <c r="K9" i="2002" s="1"/>
  <c r="L8" i="2002"/>
  <c r="K8" i="2002" s="1"/>
  <c r="L6" i="2002"/>
  <c r="K6" i="2002" s="1"/>
  <c r="L24" i="2002"/>
  <c r="K24" i="2002"/>
  <c r="K16" i="2002"/>
  <c r="K14" i="2002"/>
  <c r="A83" i="2002"/>
  <c r="A84" i="2002" s="1"/>
  <c r="A85" i="2002" s="1"/>
  <c r="A86" i="2002" s="1"/>
  <c r="A87" i="2002" s="1"/>
  <c r="A88" i="2002" s="1"/>
  <c r="AF67" i="2002"/>
  <c r="AF69" i="2002" s="1"/>
  <c r="AF66" i="2002"/>
  <c r="AA28" i="2002"/>
  <c r="Z28" i="2002"/>
  <c r="Y28" i="2002"/>
  <c r="X28" i="2002"/>
  <c r="W28" i="2002"/>
  <c r="V28" i="2002"/>
  <c r="U28" i="2002"/>
  <c r="T28" i="2002"/>
  <c r="S28" i="2002"/>
  <c r="R28" i="2002"/>
  <c r="N28" i="2002"/>
  <c r="J28" i="2002"/>
  <c r="I28" i="2002"/>
  <c r="AF27" i="2002"/>
  <c r="AB27" i="2002"/>
  <c r="Q27" i="2002"/>
  <c r="P27" i="2002"/>
  <c r="AC27" i="2002" s="1"/>
  <c r="AD27" i="2002" s="1"/>
  <c r="O27" i="2002"/>
  <c r="M27" i="2002"/>
  <c r="K27" i="2002"/>
  <c r="AF26" i="2002"/>
  <c r="AB26" i="2002"/>
  <c r="Q26" i="2002"/>
  <c r="P26" i="2002"/>
  <c r="AC26" i="2002" s="1"/>
  <c r="AD26" i="2002" s="1"/>
  <c r="O26" i="2002"/>
  <c r="M26" i="2002"/>
  <c r="K26" i="2002"/>
  <c r="AF25" i="2002"/>
  <c r="AB25" i="2002"/>
  <c r="Q25" i="2002"/>
  <c r="P25" i="2002"/>
  <c r="AC25" i="2002" s="1"/>
  <c r="AD25" i="2002" s="1"/>
  <c r="O25" i="2002"/>
  <c r="M25" i="2002"/>
  <c r="K25" i="2002"/>
  <c r="AF24" i="2002"/>
  <c r="Q24" i="2002"/>
  <c r="P24" i="2002"/>
  <c r="AC24" i="2002" s="1"/>
  <c r="O24" i="2002"/>
  <c r="M24" i="2002"/>
  <c r="AB24" i="2002"/>
  <c r="AF23" i="2002"/>
  <c r="AB23" i="2002"/>
  <c r="Q23" i="2002"/>
  <c r="P23" i="2002"/>
  <c r="AC23" i="2002" s="1"/>
  <c r="AD23" i="2002" s="1"/>
  <c r="O23" i="2002"/>
  <c r="M23" i="2002"/>
  <c r="K23" i="2002"/>
  <c r="AF22" i="2002"/>
  <c r="AB22" i="2002"/>
  <c r="Q22" i="2002"/>
  <c r="P22" i="2002"/>
  <c r="AC22" i="2002" s="1"/>
  <c r="O22" i="2002"/>
  <c r="M22" i="2002"/>
  <c r="K22" i="2002"/>
  <c r="AF21" i="2002"/>
  <c r="AB21" i="2002"/>
  <c r="Q21" i="2002"/>
  <c r="O21" i="2002"/>
  <c r="M21" i="2002"/>
  <c r="P21" i="2002"/>
  <c r="AC21" i="2002" s="1"/>
  <c r="AF20" i="2002"/>
  <c r="Q20" i="2002"/>
  <c r="P20" i="2002"/>
  <c r="AC20" i="2002" s="1"/>
  <c r="AF19" i="2002"/>
  <c r="AB19" i="2002"/>
  <c r="Q19" i="2002"/>
  <c r="P19" i="2002"/>
  <c r="AC19" i="2002" s="1"/>
  <c r="O19" i="2002"/>
  <c r="M19" i="2002"/>
  <c r="AF18" i="2002"/>
  <c r="AB18" i="2002"/>
  <c r="Q18" i="2002"/>
  <c r="O18" i="2002"/>
  <c r="M18" i="2002"/>
  <c r="P18" i="2002"/>
  <c r="AC18" i="2002" s="1"/>
  <c r="AF17" i="2002"/>
  <c r="AB17" i="2002"/>
  <c r="Q17" i="2002"/>
  <c r="P17" i="2002" s="1"/>
  <c r="AC17" i="2002" s="1"/>
  <c r="O17" i="2002"/>
  <c r="M17" i="2002"/>
  <c r="K17" i="2002"/>
  <c r="AF16" i="2002"/>
  <c r="AB16" i="2002"/>
  <c r="Q16" i="2002"/>
  <c r="P16" i="2002" s="1"/>
  <c r="AC16" i="2002" s="1"/>
  <c r="O16" i="2002"/>
  <c r="M16" i="2002"/>
  <c r="AF15" i="2002"/>
  <c r="AC15" i="2002"/>
  <c r="AB15" i="2002"/>
  <c r="Q15" i="2002"/>
  <c r="P15" i="2002"/>
  <c r="O15" i="2002"/>
  <c r="M15" i="2002"/>
  <c r="K15" i="2002"/>
  <c r="AF14" i="2002"/>
  <c r="Q14" i="2002"/>
  <c r="P14" i="2002"/>
  <c r="AC14" i="2002" s="1"/>
  <c r="O14" i="2002"/>
  <c r="AF13" i="2002"/>
  <c r="AC13" i="2002"/>
  <c r="AB13" i="2002"/>
  <c r="Q13" i="2002"/>
  <c r="P13" i="2002"/>
  <c r="O13" i="2002"/>
  <c r="M13" i="2002"/>
  <c r="K13" i="2002"/>
  <c r="AF12" i="2002"/>
  <c r="Q12" i="2002"/>
  <c r="P12" i="2002"/>
  <c r="AC12" i="2002" s="1"/>
  <c r="AF11" i="2002"/>
  <c r="Q11" i="2002"/>
  <c r="P11" i="2002" s="1"/>
  <c r="AC11" i="2002" s="1"/>
  <c r="AF10" i="2002"/>
  <c r="AC10" i="2002"/>
  <c r="AD10" i="2002" s="1"/>
  <c r="AB10" i="2002"/>
  <c r="Q10" i="2002"/>
  <c r="P10" i="2002"/>
  <c r="O10" i="2002"/>
  <c r="M10" i="2002"/>
  <c r="K10" i="2002"/>
  <c r="AF9" i="2002"/>
  <c r="Q9" i="2002"/>
  <c r="P9" i="2002"/>
  <c r="AC9" i="2002" s="1"/>
  <c r="O9" i="2002"/>
  <c r="AF8" i="2002"/>
  <c r="Q8" i="2002"/>
  <c r="O8" i="2002"/>
  <c r="AF7" i="2002"/>
  <c r="AC7" i="2002"/>
  <c r="AB7" i="2002"/>
  <c r="Q7" i="2002"/>
  <c r="P7" i="2002"/>
  <c r="O7" i="2002"/>
  <c r="M7" i="2002"/>
  <c r="K7" i="2002"/>
  <c r="AF6" i="2002"/>
  <c r="Q6" i="2002"/>
  <c r="P6" i="2002"/>
  <c r="AC6" i="2002" s="1"/>
  <c r="O6" i="2002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L20" i="2001"/>
  <c r="P20" i="2001" s="1"/>
  <c r="AC20" i="2001" s="1"/>
  <c r="L18" i="2001"/>
  <c r="L16" i="2001"/>
  <c r="M16" i="2001" s="1"/>
  <c r="L14" i="2001"/>
  <c r="L12" i="2001"/>
  <c r="K11" i="2001"/>
  <c r="K10" i="2001"/>
  <c r="L9" i="2001"/>
  <c r="K9" i="2001" s="1"/>
  <c r="L8" i="2001"/>
  <c r="L6" i="2001"/>
  <c r="L21" i="2001"/>
  <c r="K21" i="2001" s="1"/>
  <c r="L24" i="2001"/>
  <c r="AB24" i="2001" s="1"/>
  <c r="K19" i="2001"/>
  <c r="K18" i="2001"/>
  <c r="K16" i="2001"/>
  <c r="K14" i="2001"/>
  <c r="K12" i="2001"/>
  <c r="K8" i="2001"/>
  <c r="K6" i="2001"/>
  <c r="A83" i="2001"/>
  <c r="A84" i="2001" s="1"/>
  <c r="A85" i="2001" s="1"/>
  <c r="A86" i="2001" s="1"/>
  <c r="A87" i="2001" s="1"/>
  <c r="A88" i="2001" s="1"/>
  <c r="AF67" i="2001"/>
  <c r="AF69" i="2001" s="1"/>
  <c r="AF66" i="2001"/>
  <c r="AA28" i="2001"/>
  <c r="Z28" i="2001"/>
  <c r="Y28" i="2001"/>
  <c r="X28" i="2001"/>
  <c r="W28" i="2001"/>
  <c r="V28" i="2001"/>
  <c r="U28" i="2001"/>
  <c r="T28" i="2001"/>
  <c r="S28" i="2001"/>
  <c r="R28" i="2001"/>
  <c r="N28" i="2001"/>
  <c r="J28" i="2001"/>
  <c r="I28" i="2001"/>
  <c r="AF27" i="2001"/>
  <c r="AB27" i="2001"/>
  <c r="Q27" i="2001"/>
  <c r="P27" i="2001"/>
  <c r="AC27" i="2001" s="1"/>
  <c r="AD27" i="2001" s="1"/>
  <c r="O27" i="2001"/>
  <c r="M27" i="2001"/>
  <c r="K27" i="2001"/>
  <c r="AF26" i="2001"/>
  <c r="AB26" i="2001"/>
  <c r="Q26" i="2001"/>
  <c r="P26" i="2001"/>
  <c r="AC26" i="2001" s="1"/>
  <c r="AD26" i="2001" s="1"/>
  <c r="O26" i="2001"/>
  <c r="M26" i="2001"/>
  <c r="K26" i="2001"/>
  <c r="AF25" i="2001"/>
  <c r="AB25" i="2001"/>
  <c r="Q25" i="2001"/>
  <c r="P25" i="2001"/>
  <c r="AC25" i="2001" s="1"/>
  <c r="AD25" i="2001" s="1"/>
  <c r="O25" i="2001"/>
  <c r="M25" i="2001"/>
  <c r="K25" i="2001"/>
  <c r="AF24" i="2001"/>
  <c r="Q24" i="2001"/>
  <c r="P24" i="2001"/>
  <c r="AC24" i="2001" s="1"/>
  <c r="O24" i="2001"/>
  <c r="M24" i="2001"/>
  <c r="AF23" i="2001"/>
  <c r="AB23" i="2001"/>
  <c r="Q23" i="2001"/>
  <c r="P23" i="2001"/>
  <c r="AC23" i="2001" s="1"/>
  <c r="AD23" i="2001" s="1"/>
  <c r="O23" i="2001"/>
  <c r="M23" i="2001"/>
  <c r="K23" i="2001"/>
  <c r="AF22" i="2001"/>
  <c r="AB22" i="2001"/>
  <c r="Q22" i="2001"/>
  <c r="P22" i="2001"/>
  <c r="AC22" i="2001" s="1"/>
  <c r="O22" i="2001"/>
  <c r="M22" i="2001"/>
  <c r="K22" i="2001"/>
  <c r="AF21" i="2001"/>
  <c r="AB21" i="2001"/>
  <c r="Q21" i="2001"/>
  <c r="P21" i="2001"/>
  <c r="AC21" i="2001" s="1"/>
  <c r="O21" i="2001"/>
  <c r="M21" i="2001"/>
  <c r="AF20" i="2001"/>
  <c r="Q20" i="2001"/>
  <c r="AF19" i="2001"/>
  <c r="AB19" i="2001"/>
  <c r="Q19" i="2001"/>
  <c r="P19" i="2001" s="1"/>
  <c r="AC19" i="2001" s="1"/>
  <c r="M19" i="2001"/>
  <c r="O19" i="2001"/>
  <c r="AF18" i="2001"/>
  <c r="Q18" i="2001"/>
  <c r="O18" i="2001"/>
  <c r="AB18" i="2001"/>
  <c r="AF17" i="2001"/>
  <c r="AB17" i="2001"/>
  <c r="Q17" i="2001"/>
  <c r="P17" i="2001"/>
  <c r="AC17" i="2001" s="1"/>
  <c r="AD17" i="2001" s="1"/>
  <c r="O17" i="2001"/>
  <c r="M17" i="2001"/>
  <c r="K17" i="2001"/>
  <c r="AF16" i="2001"/>
  <c r="AB16" i="2001"/>
  <c r="Q16" i="2001"/>
  <c r="O16" i="2001"/>
  <c r="AF15" i="2001"/>
  <c r="AC15" i="2001"/>
  <c r="AB15" i="2001"/>
  <c r="Q15" i="2001"/>
  <c r="P15" i="2001"/>
  <c r="O15" i="2001"/>
  <c r="M15" i="2001"/>
  <c r="K15" i="2001"/>
  <c r="AF14" i="2001"/>
  <c r="AB14" i="2001"/>
  <c r="Q14" i="2001"/>
  <c r="P14" i="2001" s="1"/>
  <c r="AC14" i="2001" s="1"/>
  <c r="AD14" i="2001" s="1"/>
  <c r="O14" i="2001"/>
  <c r="M14" i="2001"/>
  <c r="AF13" i="2001"/>
  <c r="AC13" i="2001"/>
  <c r="AB13" i="2001"/>
  <c r="Q13" i="2001"/>
  <c r="P13" i="2001"/>
  <c r="O13" i="2001"/>
  <c r="M13" i="2001"/>
  <c r="K13" i="2001"/>
  <c r="AF12" i="2001"/>
  <c r="Q12" i="2001"/>
  <c r="P12" i="2001"/>
  <c r="AC12" i="2001" s="1"/>
  <c r="AF11" i="2001"/>
  <c r="AB11" i="2001"/>
  <c r="Q11" i="2001"/>
  <c r="P11" i="2001" s="1"/>
  <c r="AC11" i="2001" s="1"/>
  <c r="O11" i="2001"/>
  <c r="M11" i="2001"/>
  <c r="AF10" i="2001"/>
  <c r="AB10" i="2001"/>
  <c r="Q10" i="2001"/>
  <c r="P10" i="2001"/>
  <c r="AC10" i="2001" s="1"/>
  <c r="AD10" i="2001" s="1"/>
  <c r="O10" i="2001"/>
  <c r="M10" i="2001"/>
  <c r="AF9" i="2001"/>
  <c r="Q9" i="2001"/>
  <c r="P9" i="2001" s="1"/>
  <c r="AC9" i="2001" s="1"/>
  <c r="AF8" i="2001"/>
  <c r="AB8" i="2001"/>
  <c r="Q8" i="2001"/>
  <c r="M8" i="2001"/>
  <c r="O8" i="2001"/>
  <c r="AF7" i="2001"/>
  <c r="AB7" i="2001"/>
  <c r="Q7" i="2001"/>
  <c r="P7" i="2001"/>
  <c r="AC7" i="2001" s="1"/>
  <c r="AD7" i="2001" s="1"/>
  <c r="O7" i="2001"/>
  <c r="M7" i="2001"/>
  <c r="K7" i="2001"/>
  <c r="AF6" i="2001"/>
  <c r="Q6" i="2001"/>
  <c r="P6" i="2001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L21" i="2000"/>
  <c r="L20" i="2000"/>
  <c r="L19" i="2000"/>
  <c r="L18" i="2000"/>
  <c r="K18" i="2000"/>
  <c r="AD12" i="2011" l="1"/>
  <c r="M30" i="2011"/>
  <c r="AD9" i="2011"/>
  <c r="AD18" i="2011"/>
  <c r="AD23" i="2011"/>
  <c r="AC30" i="2011"/>
  <c r="AD6" i="2011"/>
  <c r="AB30" i="2011"/>
  <c r="P30" i="2011"/>
  <c r="AD14" i="2010"/>
  <c r="AD9" i="2010"/>
  <c r="AB29" i="2010"/>
  <c r="M29" i="2010"/>
  <c r="AD8" i="2010"/>
  <c r="AD20" i="2010"/>
  <c r="AD18" i="2010"/>
  <c r="P29" i="2010"/>
  <c r="AD6" i="2010"/>
  <c r="AC29" i="2010"/>
  <c r="AB30" i="2009"/>
  <c r="AD20" i="2009"/>
  <c r="M30" i="2009"/>
  <c r="AD13" i="2009"/>
  <c r="P30" i="2009"/>
  <c r="AD9" i="2009"/>
  <c r="AD6" i="2009"/>
  <c r="AC30" i="2009"/>
  <c r="K30" i="2009"/>
  <c r="AD22" i="2008"/>
  <c r="AB29" i="2008"/>
  <c r="P29" i="2008"/>
  <c r="AD9" i="2008"/>
  <c r="AD14" i="2008"/>
  <c r="M29" i="2008"/>
  <c r="AD19" i="2008"/>
  <c r="AC29" i="2008"/>
  <c r="AD23" i="2007"/>
  <c r="K20" i="16" s="1"/>
  <c r="AD27" i="2007"/>
  <c r="K24" i="16" s="1"/>
  <c r="AD22" i="2007"/>
  <c r="K19" i="16" s="1"/>
  <c r="AG19" i="16" s="1"/>
  <c r="AD26" i="2007"/>
  <c r="K23" i="16" s="1"/>
  <c r="AD25" i="2007"/>
  <c r="K22" i="16" s="1"/>
  <c r="AD21" i="2007"/>
  <c r="AD17" i="2007"/>
  <c r="Q28" i="2007"/>
  <c r="AD7" i="2007"/>
  <c r="AD14" i="2007"/>
  <c r="AC6" i="2007"/>
  <c r="P28" i="2007"/>
  <c r="AD20" i="2007"/>
  <c r="AD8" i="2007"/>
  <c r="AD11" i="2007"/>
  <c r="M6" i="2007"/>
  <c r="AB6" i="2007"/>
  <c r="M13" i="2007"/>
  <c r="AB13" i="2007"/>
  <c r="M18" i="2007"/>
  <c r="AB18" i="2007"/>
  <c r="AD18" i="2007" s="1"/>
  <c r="L28" i="2007"/>
  <c r="O28" i="2007" s="1"/>
  <c r="O6" i="2007"/>
  <c r="M9" i="2007"/>
  <c r="AB9" i="2007"/>
  <c r="AD9" i="2007" s="1"/>
  <c r="M12" i="2007"/>
  <c r="AB12" i="2007"/>
  <c r="AD12" i="2007" s="1"/>
  <c r="O13" i="2007"/>
  <c r="O18" i="2007"/>
  <c r="M8" i="2007"/>
  <c r="M11" i="2007"/>
  <c r="M20" i="2007"/>
  <c r="M20" i="2006"/>
  <c r="AB20" i="2006"/>
  <c r="O20" i="2006"/>
  <c r="P20" i="2006"/>
  <c r="AC20" i="2006" s="1"/>
  <c r="P18" i="2006"/>
  <c r="AC18" i="2006" s="1"/>
  <c r="M16" i="2006"/>
  <c r="P13" i="2006"/>
  <c r="AC13" i="2006" s="1"/>
  <c r="AB13" i="2006"/>
  <c r="AD13" i="2006" s="1"/>
  <c r="M13" i="2006"/>
  <c r="O13" i="2006"/>
  <c r="P12" i="2006"/>
  <c r="AC12" i="2006" s="1"/>
  <c r="P9" i="2006"/>
  <c r="AC9" i="2006" s="1"/>
  <c r="K9" i="2006"/>
  <c r="Q28" i="2006"/>
  <c r="P8" i="2006"/>
  <c r="AC8" i="2006" s="1"/>
  <c r="M8" i="2006"/>
  <c r="AB8" i="2006"/>
  <c r="AD8" i="2006" s="1"/>
  <c r="O8" i="2006"/>
  <c r="M7" i="2006"/>
  <c r="AD7" i="2006"/>
  <c r="AD16" i="2006"/>
  <c r="AD10" i="2006"/>
  <c r="AD9" i="2006"/>
  <c r="AD20" i="2006"/>
  <c r="AC6" i="2006"/>
  <c r="O6" i="2006"/>
  <c r="M11" i="2006"/>
  <c r="AB11" i="2006"/>
  <c r="AD11" i="2006" s="1"/>
  <c r="O12" i="2006"/>
  <c r="AD12" i="2006" s="1"/>
  <c r="M17" i="2006"/>
  <c r="AB17" i="2006"/>
  <c r="O18" i="2006"/>
  <c r="P19" i="2006"/>
  <c r="AC19" i="2006" s="1"/>
  <c r="AD19" i="2006" s="1"/>
  <c r="M21" i="2006"/>
  <c r="AB21" i="2006"/>
  <c r="L28" i="2006"/>
  <c r="O28" i="2006" s="1"/>
  <c r="O11" i="2006"/>
  <c r="O17" i="2006"/>
  <c r="O21" i="2006"/>
  <c r="AD21" i="2006" s="1"/>
  <c r="M19" i="2006"/>
  <c r="O19" i="2005"/>
  <c r="P16" i="2005"/>
  <c r="AC16" i="2005" s="1"/>
  <c r="O13" i="2005"/>
  <c r="AD13" i="2005" s="1"/>
  <c r="Q28" i="2005"/>
  <c r="M8" i="2005"/>
  <c r="AB8" i="2005"/>
  <c r="AD8" i="2005" s="1"/>
  <c r="AD9" i="2005"/>
  <c r="AD17" i="2005"/>
  <c r="AD12" i="2005"/>
  <c r="AD19" i="2005"/>
  <c r="AD6" i="2005"/>
  <c r="O7" i="2005"/>
  <c r="K28" i="2005"/>
  <c r="P7" i="2005"/>
  <c r="AC7" i="2005" s="1"/>
  <c r="M11" i="2005"/>
  <c r="AB11" i="2005"/>
  <c r="AD11" i="2005" s="1"/>
  <c r="M16" i="2005"/>
  <c r="AB16" i="2005"/>
  <c r="P18" i="2005"/>
  <c r="AC18" i="2005" s="1"/>
  <c r="AD18" i="2005" s="1"/>
  <c r="M20" i="2005"/>
  <c r="AB20" i="2005"/>
  <c r="O16" i="2005"/>
  <c r="O20" i="2005"/>
  <c r="M7" i="2005"/>
  <c r="M18" i="2005"/>
  <c r="M8" i="2004"/>
  <c r="AB8" i="2004"/>
  <c r="AD24" i="2004"/>
  <c r="AD27" i="2004"/>
  <c r="AD7" i="2004"/>
  <c r="O8" i="2004"/>
  <c r="AD26" i="2004"/>
  <c r="P8" i="2004"/>
  <c r="AC8" i="2004" s="1"/>
  <c r="AD25" i="2004"/>
  <c r="M16" i="2004"/>
  <c r="AB16" i="2004"/>
  <c r="AD16" i="2004" s="1"/>
  <c r="O16" i="2004"/>
  <c r="AD11" i="2004"/>
  <c r="Q28" i="2004"/>
  <c r="AD10" i="2004"/>
  <c r="AD17" i="2004"/>
  <c r="AD20" i="2004"/>
  <c r="AD21" i="2004"/>
  <c r="AD8" i="2004"/>
  <c r="AD9" i="2004"/>
  <c r="AD14" i="2004"/>
  <c r="AD19" i="2004"/>
  <c r="AD23" i="2004"/>
  <c r="AC6" i="2004"/>
  <c r="AD18" i="2004"/>
  <c r="O12" i="2004"/>
  <c r="M18" i="2004"/>
  <c r="M21" i="2004"/>
  <c r="L28" i="2004"/>
  <c r="O28" i="2004" s="1"/>
  <c r="P12" i="2004"/>
  <c r="AC12" i="2004" s="1"/>
  <c r="M12" i="2004"/>
  <c r="P18" i="2003"/>
  <c r="AC18" i="2003" s="1"/>
  <c r="AD18" i="2003" s="1"/>
  <c r="AD15" i="2003"/>
  <c r="M16" i="2003"/>
  <c r="AB16" i="2003"/>
  <c r="P12" i="2003"/>
  <c r="AC12" i="2003" s="1"/>
  <c r="AD26" i="2003"/>
  <c r="AD10" i="2003"/>
  <c r="Q29" i="2003"/>
  <c r="AD14" i="2003"/>
  <c r="AD23" i="2003"/>
  <c r="AD13" i="2003"/>
  <c r="AD7" i="2003"/>
  <c r="AD8" i="2003"/>
  <c r="AD20" i="2003"/>
  <c r="AD11" i="2003"/>
  <c r="AD16" i="2003"/>
  <c r="AC6" i="2003"/>
  <c r="M6" i="2003"/>
  <c r="AB6" i="2003"/>
  <c r="M9" i="2003"/>
  <c r="AB9" i="2003"/>
  <c r="M12" i="2003"/>
  <c r="AB12" i="2003"/>
  <c r="M17" i="2003"/>
  <c r="AB17" i="2003"/>
  <c r="O19" i="2003"/>
  <c r="AD19" i="2003" s="1"/>
  <c r="M21" i="2003"/>
  <c r="AB21" i="2003"/>
  <c r="O22" i="2003"/>
  <c r="AD22" i="2003" s="1"/>
  <c r="L29" i="2003"/>
  <c r="O29" i="2003" s="1"/>
  <c r="O6" i="2003"/>
  <c r="O9" i="2003"/>
  <c r="O12" i="2003"/>
  <c r="O17" i="2003"/>
  <c r="O21" i="2003"/>
  <c r="AD21" i="2002"/>
  <c r="AD18" i="2002"/>
  <c r="M11" i="2002"/>
  <c r="AB11" i="2002"/>
  <c r="O11" i="2002"/>
  <c r="AD11" i="2002"/>
  <c r="Q28" i="2002"/>
  <c r="P8" i="2002"/>
  <c r="AC8" i="2002" s="1"/>
  <c r="M8" i="2002"/>
  <c r="AB8" i="2002"/>
  <c r="AD16" i="2002"/>
  <c r="AD7" i="2002"/>
  <c r="AD17" i="2002"/>
  <c r="AD22" i="2002"/>
  <c r="AD13" i="2002"/>
  <c r="AD15" i="2002"/>
  <c r="AD19" i="2002"/>
  <c r="AD24" i="2002"/>
  <c r="M12" i="2002"/>
  <c r="AB12" i="2002"/>
  <c r="M20" i="2002"/>
  <c r="L28" i="2002"/>
  <c r="O28" i="2002" s="1"/>
  <c r="AB20" i="2002"/>
  <c r="M6" i="2002"/>
  <c r="AB6" i="2002"/>
  <c r="M9" i="2002"/>
  <c r="AB9" i="2002"/>
  <c r="AD9" i="2002" s="1"/>
  <c r="O12" i="2002"/>
  <c r="M14" i="2002"/>
  <c r="AB14" i="2002"/>
  <c r="AD14" i="2002" s="1"/>
  <c r="O20" i="2002"/>
  <c r="K28" i="2002"/>
  <c r="K20" i="2001"/>
  <c r="P16" i="2001"/>
  <c r="AC16" i="2001" s="1"/>
  <c r="AD16" i="2001" s="1"/>
  <c r="Q28" i="2001"/>
  <c r="P8" i="2001"/>
  <c r="AC8" i="2001" s="1"/>
  <c r="AD8" i="2001" s="1"/>
  <c r="K24" i="2001"/>
  <c r="AD24" i="2001"/>
  <c r="AD13" i="2001"/>
  <c r="AD19" i="2001"/>
  <c r="AD22" i="2001"/>
  <c r="AD15" i="2001"/>
  <c r="AD11" i="2001"/>
  <c r="AD21" i="2001"/>
  <c r="AC6" i="2001"/>
  <c r="AD12" i="2001"/>
  <c r="M6" i="2001"/>
  <c r="AB6" i="2001"/>
  <c r="M9" i="2001"/>
  <c r="AB9" i="2001"/>
  <c r="M12" i="2001"/>
  <c r="AB12" i="2001"/>
  <c r="P18" i="2001"/>
  <c r="AC18" i="2001" s="1"/>
  <c r="AD18" i="2001" s="1"/>
  <c r="M20" i="2001"/>
  <c r="AB20" i="2001"/>
  <c r="O6" i="2001"/>
  <c r="O9" i="2001"/>
  <c r="O12" i="2001"/>
  <c r="O20" i="2001"/>
  <c r="L28" i="2001"/>
  <c r="O28" i="2001" s="1"/>
  <c r="K28" i="2001"/>
  <c r="M18" i="2001"/>
  <c r="L16" i="2000"/>
  <c r="K16" i="2000" s="1"/>
  <c r="L12" i="2000"/>
  <c r="L10" i="2000"/>
  <c r="M10" i="2000" s="1"/>
  <c r="L9" i="2000"/>
  <c r="L8" i="2000"/>
  <c r="AB8" i="2000" s="1"/>
  <c r="L6" i="2000"/>
  <c r="K6" i="2000" s="1"/>
  <c r="AG24" i="16"/>
  <c r="AG23" i="16"/>
  <c r="AG22" i="16"/>
  <c r="AG21" i="16"/>
  <c r="AG20" i="16"/>
  <c r="AG18" i="16"/>
  <c r="AG17" i="16"/>
  <c r="AG16" i="16"/>
  <c r="AG15" i="16"/>
  <c r="AG14" i="16"/>
  <c r="AG13" i="16"/>
  <c r="AG12" i="16"/>
  <c r="AG11" i="16"/>
  <c r="AG10" i="16"/>
  <c r="AG9" i="16"/>
  <c r="AG8" i="16"/>
  <c r="AG7" i="16"/>
  <c r="AG6" i="16"/>
  <c r="AG5" i="16"/>
  <c r="AG4" i="16"/>
  <c r="AG3" i="16"/>
  <c r="K24" i="2000"/>
  <c r="K21" i="2000"/>
  <c r="K20" i="2000"/>
  <c r="K19" i="2000"/>
  <c r="K12" i="2000"/>
  <c r="K10" i="2000"/>
  <c r="K9" i="2000"/>
  <c r="K8" i="2000"/>
  <c r="K7" i="2000"/>
  <c r="K14" i="2000"/>
  <c r="O24" i="2000"/>
  <c r="K13" i="2000"/>
  <c r="A83" i="2000"/>
  <c r="A84" i="2000" s="1"/>
  <c r="A85" i="2000" s="1"/>
  <c r="A86" i="2000" s="1"/>
  <c r="A87" i="2000" s="1"/>
  <c r="A88" i="2000" s="1"/>
  <c r="AF69" i="2000"/>
  <c r="AF67" i="2000"/>
  <c r="AF66" i="2000"/>
  <c r="AA28" i="2000"/>
  <c r="Z28" i="2000"/>
  <c r="Y28" i="2000"/>
  <c r="X28" i="2000"/>
  <c r="W28" i="2000"/>
  <c r="V28" i="2000"/>
  <c r="U28" i="2000"/>
  <c r="T28" i="2000"/>
  <c r="S28" i="2000"/>
  <c r="R28" i="2000"/>
  <c r="N28" i="2000"/>
  <c r="J28" i="2000"/>
  <c r="I28" i="2000"/>
  <c r="AF27" i="2000"/>
  <c r="AB27" i="2000"/>
  <c r="Q27" i="2000"/>
  <c r="P27" i="2000"/>
  <c r="AC27" i="2000" s="1"/>
  <c r="AD27" i="2000" s="1"/>
  <c r="O27" i="2000"/>
  <c r="M27" i="2000"/>
  <c r="K27" i="2000"/>
  <c r="AF26" i="2000"/>
  <c r="AC26" i="2000"/>
  <c r="AD26" i="2000" s="1"/>
  <c r="AB26" i="2000"/>
  <c r="Q26" i="2000"/>
  <c r="P26" i="2000"/>
  <c r="O26" i="2000"/>
  <c r="M26" i="2000"/>
  <c r="K26" i="2000"/>
  <c r="AF25" i="2000"/>
  <c r="AB25" i="2000"/>
  <c r="Q25" i="2000"/>
  <c r="P25" i="2000"/>
  <c r="AC25" i="2000" s="1"/>
  <c r="O25" i="2000"/>
  <c r="M25" i="2000"/>
  <c r="K25" i="2000"/>
  <c r="AF24" i="2000"/>
  <c r="AB24" i="2000"/>
  <c r="Q24" i="2000"/>
  <c r="P24" i="2000"/>
  <c r="AC24" i="2000" s="1"/>
  <c r="AF23" i="2000"/>
  <c r="AB23" i="2000"/>
  <c r="Q23" i="2000"/>
  <c r="P23" i="2000"/>
  <c r="AC23" i="2000" s="1"/>
  <c r="O23" i="2000"/>
  <c r="M23" i="2000"/>
  <c r="K23" i="2000"/>
  <c r="AF22" i="2000"/>
  <c r="AB22" i="2000"/>
  <c r="Q22" i="2000"/>
  <c r="P22" i="2000"/>
  <c r="AC22" i="2000" s="1"/>
  <c r="AD22" i="2000" s="1"/>
  <c r="O22" i="2000"/>
  <c r="M22" i="2000"/>
  <c r="K22" i="2000"/>
  <c r="AF21" i="2000"/>
  <c r="AB21" i="2000"/>
  <c r="Q21" i="2000"/>
  <c r="M21" i="2000"/>
  <c r="P21" i="2000"/>
  <c r="AC21" i="2000" s="1"/>
  <c r="AF20" i="2000"/>
  <c r="Q20" i="2000"/>
  <c r="P20" i="2000"/>
  <c r="AC20" i="2000" s="1"/>
  <c r="AF19" i="2000"/>
  <c r="AB19" i="2000"/>
  <c r="Q19" i="2000"/>
  <c r="P19" i="2000"/>
  <c r="AC19" i="2000" s="1"/>
  <c r="O19" i="2000"/>
  <c r="M19" i="2000"/>
  <c r="AF18" i="2000"/>
  <c r="AB18" i="2000"/>
  <c r="Q18" i="2000"/>
  <c r="P18" i="2000" s="1"/>
  <c r="AC18" i="2000" s="1"/>
  <c r="O18" i="2000"/>
  <c r="M18" i="2000"/>
  <c r="AF17" i="2000"/>
  <c r="AB17" i="2000"/>
  <c r="Q17" i="2000"/>
  <c r="P17" i="2000"/>
  <c r="AC17" i="2000" s="1"/>
  <c r="O17" i="2000"/>
  <c r="M17" i="2000"/>
  <c r="K17" i="2000"/>
  <c r="AF16" i="2000"/>
  <c r="Q16" i="2000"/>
  <c r="AF15" i="2000"/>
  <c r="AB15" i="2000"/>
  <c r="Q15" i="2000"/>
  <c r="P15" i="2000"/>
  <c r="AC15" i="2000" s="1"/>
  <c r="O15" i="2000"/>
  <c r="M15" i="2000"/>
  <c r="K15" i="2000"/>
  <c r="AF14" i="2000"/>
  <c r="AB14" i="2000"/>
  <c r="Q14" i="2000"/>
  <c r="O14" i="2000"/>
  <c r="M14" i="2000"/>
  <c r="P14" i="2000"/>
  <c r="AC14" i="2000" s="1"/>
  <c r="AF13" i="2000"/>
  <c r="AB13" i="2000"/>
  <c r="Q13" i="2000"/>
  <c r="M13" i="2000"/>
  <c r="P13" i="2000"/>
  <c r="AC13" i="2000" s="1"/>
  <c r="AF12" i="2000"/>
  <c r="Q12" i="2000"/>
  <c r="P12" i="2000" s="1"/>
  <c r="AC12" i="2000" s="1"/>
  <c r="AF11" i="2000"/>
  <c r="AB11" i="2000"/>
  <c r="Q11" i="2000"/>
  <c r="P11" i="2000"/>
  <c r="AC11" i="2000" s="1"/>
  <c r="O11" i="2000"/>
  <c r="M11" i="2000"/>
  <c r="K11" i="2000"/>
  <c r="AF10" i="2000"/>
  <c r="AB10" i="2000"/>
  <c r="Q10" i="2000"/>
  <c r="P10" i="2000" s="1"/>
  <c r="AC10" i="2000" s="1"/>
  <c r="AF9" i="2000"/>
  <c r="Q9" i="2000"/>
  <c r="P9" i="2000" s="1"/>
  <c r="AC9" i="2000" s="1"/>
  <c r="AF8" i="2000"/>
  <c r="Q8" i="2000"/>
  <c r="O8" i="2000"/>
  <c r="M8" i="2000"/>
  <c r="AF7" i="2000"/>
  <c r="AB7" i="2000"/>
  <c r="Q7" i="2000"/>
  <c r="P7" i="2000" s="1"/>
  <c r="AC7" i="2000" s="1"/>
  <c r="O7" i="2000"/>
  <c r="M7" i="2000"/>
  <c r="AF6" i="2000"/>
  <c r="Q6" i="2000"/>
  <c r="AD30" i="2011" l="1"/>
  <c r="AD29" i="2010"/>
  <c r="AE7" i="2010" s="1"/>
  <c r="AD30" i="2009"/>
  <c r="AD29" i="2008"/>
  <c r="AE12" i="2008" s="1"/>
  <c r="AD13" i="2007"/>
  <c r="M28" i="2007"/>
  <c r="AD6" i="2007"/>
  <c r="AD28" i="2007" s="1"/>
  <c r="K25" i="16" s="1"/>
  <c r="AG25" i="16" s="1"/>
  <c r="AC28" i="2007"/>
  <c r="K28" i="2007"/>
  <c r="AB28" i="2007"/>
  <c r="AD18" i="2006"/>
  <c r="M28" i="2006"/>
  <c r="AD17" i="2006"/>
  <c r="K28" i="2006"/>
  <c r="AC28" i="2006"/>
  <c r="AD6" i="2006"/>
  <c r="AB28" i="2006"/>
  <c r="P28" i="2006"/>
  <c r="AD7" i="2005"/>
  <c r="AD16" i="2005"/>
  <c r="AD28" i="2005" s="1"/>
  <c r="AE8" i="2005" s="1"/>
  <c r="AD20" i="2005"/>
  <c r="M28" i="2005"/>
  <c r="AC28" i="2005"/>
  <c r="AB28" i="2005"/>
  <c r="P28" i="2005"/>
  <c r="AB28" i="2004"/>
  <c r="M28" i="2004"/>
  <c r="AD6" i="2004"/>
  <c r="AC28" i="2004"/>
  <c r="K28" i="2004"/>
  <c r="AD12" i="2004"/>
  <c r="P28" i="2004"/>
  <c r="P29" i="2003"/>
  <c r="AD21" i="2003"/>
  <c r="AD12" i="2003"/>
  <c r="AD17" i="2003"/>
  <c r="AD9" i="2003"/>
  <c r="K29" i="2003"/>
  <c r="AB29" i="2003"/>
  <c r="AD6" i="2003"/>
  <c r="AC29" i="2003"/>
  <c r="M29" i="2003"/>
  <c r="AD20" i="2002"/>
  <c r="AD12" i="2002"/>
  <c r="P28" i="2002"/>
  <c r="AD8" i="2002"/>
  <c r="AC28" i="2002"/>
  <c r="AB28" i="2002"/>
  <c r="M28" i="2002"/>
  <c r="AD6" i="2002"/>
  <c r="AD28" i="2002" s="1"/>
  <c r="AD20" i="2001"/>
  <c r="AD9" i="2001"/>
  <c r="AB28" i="2001"/>
  <c r="AD6" i="2001"/>
  <c r="AC28" i="2001"/>
  <c r="M28" i="2001"/>
  <c r="P28" i="2001"/>
  <c r="AB16" i="2000"/>
  <c r="P16" i="2000"/>
  <c r="AC16" i="2000" s="1"/>
  <c r="M16" i="2000"/>
  <c r="P8" i="2000"/>
  <c r="AC8" i="2000" s="1"/>
  <c r="AD8" i="2000" s="1"/>
  <c r="AD14" i="2000"/>
  <c r="AD25" i="2000"/>
  <c r="AD11" i="2000"/>
  <c r="AD23" i="2000"/>
  <c r="Q28" i="2000"/>
  <c r="P6" i="2000"/>
  <c r="AC6" i="2000" s="1"/>
  <c r="M24" i="2000"/>
  <c r="AD24" i="2000"/>
  <c r="AD7" i="2000"/>
  <c r="AD17" i="2000"/>
  <c r="AD19" i="2000"/>
  <c r="AD15" i="2000"/>
  <c r="AD18" i="2000"/>
  <c r="M6" i="2000"/>
  <c r="AB6" i="2000"/>
  <c r="M9" i="2000"/>
  <c r="AB9" i="2000"/>
  <c r="O10" i="2000"/>
  <c r="AD10" i="2000" s="1"/>
  <c r="M12" i="2000"/>
  <c r="AB12" i="2000"/>
  <c r="O13" i="2000"/>
  <c r="AD13" i="2000" s="1"/>
  <c r="O16" i="2000"/>
  <c r="M20" i="2000"/>
  <c r="AB20" i="2000"/>
  <c r="O21" i="2000"/>
  <c r="AD21" i="2000" s="1"/>
  <c r="L28" i="2000"/>
  <c r="O28" i="2000" s="1"/>
  <c r="O6" i="2000"/>
  <c r="O9" i="2000"/>
  <c r="O12" i="2000"/>
  <c r="O20" i="2000"/>
  <c r="K28" i="2000"/>
  <c r="AE29" i="2011" l="1"/>
  <c r="AE21" i="2011"/>
  <c r="AE17" i="2011"/>
  <c r="AE16" i="2011"/>
  <c r="AE28" i="2011"/>
  <c r="AE19" i="2011"/>
  <c r="AE23" i="2011"/>
  <c r="AE9" i="2011"/>
  <c r="AE7" i="2011"/>
  <c r="AE24" i="2011"/>
  <c r="AE10" i="2011"/>
  <c r="AE15" i="2011"/>
  <c r="AE27" i="2011"/>
  <c r="AE22" i="2011"/>
  <c r="AE20" i="2011"/>
  <c r="AE6" i="2011"/>
  <c r="AE12" i="2011"/>
  <c r="AE25" i="2011"/>
  <c r="AE8" i="2011"/>
  <c r="AE11" i="2011"/>
  <c r="AE14" i="2011"/>
  <c r="AE26" i="2011"/>
  <c r="AE13" i="2011"/>
  <c r="AE18" i="2011"/>
  <c r="AE28" i="2010"/>
  <c r="AE26" i="2010"/>
  <c r="AE24" i="2010"/>
  <c r="AE22" i="2010"/>
  <c r="AE13" i="2010"/>
  <c r="AE10" i="2010"/>
  <c r="AE6" i="2010"/>
  <c r="AE23" i="2010"/>
  <c r="AE20" i="2010"/>
  <c r="AE18" i="2010"/>
  <c r="AE8" i="2010"/>
  <c r="AE16" i="2010"/>
  <c r="AE27" i="2010"/>
  <c r="AE25" i="2010"/>
  <c r="AE21" i="2010"/>
  <c r="AE19" i="2010"/>
  <c r="AE17" i="2010"/>
  <c r="AE15" i="2010"/>
  <c r="AE12" i="2010"/>
  <c r="AE9" i="2010"/>
  <c r="AE14" i="2010"/>
  <c r="AE11" i="2010"/>
  <c r="AE16" i="2009"/>
  <c r="AE21" i="2009"/>
  <c r="AE29" i="2009"/>
  <c r="AE27" i="2009"/>
  <c r="AE25" i="2009"/>
  <c r="AE23" i="2009"/>
  <c r="AE18" i="2009"/>
  <c r="AE14" i="2009"/>
  <c r="AE11" i="2009"/>
  <c r="AE10" i="2009"/>
  <c r="AE7" i="2009"/>
  <c r="AE19" i="2009"/>
  <c r="AE12" i="2009"/>
  <c r="AE8" i="2009"/>
  <c r="AE20" i="2009"/>
  <c r="AE15" i="2009"/>
  <c r="AE9" i="2009"/>
  <c r="AE28" i="2009"/>
  <c r="AE26" i="2009"/>
  <c r="AE22" i="2009"/>
  <c r="AE17" i="2009"/>
  <c r="AE6" i="2009"/>
  <c r="AE24" i="2009"/>
  <c r="AE13" i="2009"/>
  <c r="AE14" i="2008"/>
  <c r="AE16" i="2008"/>
  <c r="AE18" i="2008"/>
  <c r="AE7" i="2008"/>
  <c r="AE26" i="2008"/>
  <c r="AE10" i="2008"/>
  <c r="AE13" i="2008"/>
  <c r="AE21" i="2008"/>
  <c r="AE6" i="2008"/>
  <c r="AE9" i="2008"/>
  <c r="AE11" i="2008"/>
  <c r="AE15" i="2008"/>
  <c r="AE20" i="2008"/>
  <c r="AE23" i="2008"/>
  <c r="AE25" i="2008"/>
  <c r="AE17" i="2008"/>
  <c r="AE27" i="2008"/>
  <c r="AE22" i="2008"/>
  <c r="AE8" i="2008"/>
  <c r="AE24" i="2008"/>
  <c r="AE19" i="2008"/>
  <c r="AE28" i="2008"/>
  <c r="AE27" i="2007"/>
  <c r="AE19" i="2007"/>
  <c r="AE16" i="2007"/>
  <c r="AE10" i="2007"/>
  <c r="AE7" i="2007"/>
  <c r="AE15" i="2007"/>
  <c r="AE26" i="2007"/>
  <c r="AE24" i="2007"/>
  <c r="AE22" i="2007"/>
  <c r="AE20" i="2007"/>
  <c r="AE14" i="2007"/>
  <c r="AE11" i="2007"/>
  <c r="AE8" i="2007"/>
  <c r="AE9" i="2007"/>
  <c r="AE25" i="2007"/>
  <c r="AE21" i="2007"/>
  <c r="AE6" i="2007"/>
  <c r="AE17" i="2007"/>
  <c r="AE12" i="2007"/>
  <c r="AE23" i="2007"/>
  <c r="AE18" i="2007"/>
  <c r="AE13" i="2007"/>
  <c r="AD28" i="2006"/>
  <c r="AE27" i="2006" s="1"/>
  <c r="AE27" i="2005"/>
  <c r="AE25" i="2005"/>
  <c r="AE23" i="2005"/>
  <c r="AE21" i="2005"/>
  <c r="AE17" i="2005"/>
  <c r="AE14" i="2005"/>
  <c r="AE12" i="2005"/>
  <c r="AE9" i="2005"/>
  <c r="AE6" i="2005"/>
  <c r="AE7" i="2005"/>
  <c r="AE18" i="2005"/>
  <c r="AE26" i="2005"/>
  <c r="AE24" i="2005"/>
  <c r="AE22" i="2005"/>
  <c r="AE19" i="2005"/>
  <c r="AE15" i="2005"/>
  <c r="AE13" i="2005"/>
  <c r="AE10" i="2005"/>
  <c r="AE20" i="2005"/>
  <c r="AE16" i="2005"/>
  <c r="AE11" i="2005"/>
  <c r="AD28" i="2004"/>
  <c r="AD29" i="2003"/>
  <c r="AE27" i="2002"/>
  <c r="AE25" i="2002"/>
  <c r="AE23" i="2002"/>
  <c r="AE21" i="2002"/>
  <c r="AE18" i="2002"/>
  <c r="AE15" i="2002"/>
  <c r="AE10" i="2002"/>
  <c r="AE7" i="2002"/>
  <c r="AE9" i="2002"/>
  <c r="AE20" i="2002"/>
  <c r="AE17" i="2002"/>
  <c r="AE26" i="2002"/>
  <c r="AE24" i="2002"/>
  <c r="AE16" i="2002"/>
  <c r="AE13" i="2002"/>
  <c r="AE8" i="2002"/>
  <c r="AE19" i="2002"/>
  <c r="AE6" i="2002"/>
  <c r="AE22" i="2002"/>
  <c r="AE14" i="2002"/>
  <c r="AE11" i="2002"/>
  <c r="AE12" i="2002"/>
  <c r="AD28" i="2001"/>
  <c r="AE27" i="2001" s="1"/>
  <c r="AD16" i="2000"/>
  <c r="AD9" i="2000"/>
  <c r="P28" i="2000"/>
  <c r="AD20" i="2000"/>
  <c r="AD12" i="2000"/>
  <c r="AB28" i="2000"/>
  <c r="AD6" i="2000"/>
  <c r="AC28" i="2000"/>
  <c r="M28" i="2000"/>
  <c r="AE16" i="2006" l="1"/>
  <c r="AE15" i="2006"/>
  <c r="AE26" i="2006"/>
  <c r="AE18" i="2006"/>
  <c r="AE11" i="2006"/>
  <c r="AE8" i="2006"/>
  <c r="AE7" i="2006"/>
  <c r="AE22" i="2006"/>
  <c r="AE9" i="2006"/>
  <c r="AE14" i="2006"/>
  <c r="AE20" i="2006"/>
  <c r="AE19" i="2006"/>
  <c r="AE6" i="2006"/>
  <c r="AE10" i="2006"/>
  <c r="AE13" i="2006"/>
  <c r="AE24" i="2006"/>
  <c r="AE12" i="2006"/>
  <c r="AE23" i="2006"/>
  <c r="AE21" i="2006"/>
  <c r="AE25" i="2006"/>
  <c r="AE17" i="2006"/>
  <c r="AE27" i="2004"/>
  <c r="AE25" i="2004"/>
  <c r="AE23" i="2004"/>
  <c r="AE21" i="2004"/>
  <c r="AE18" i="2004"/>
  <c r="AE16" i="2004"/>
  <c r="AE11" i="2004"/>
  <c r="AE9" i="2004"/>
  <c r="AE14" i="2004"/>
  <c r="AE12" i="2004"/>
  <c r="AE7" i="2004"/>
  <c r="AE26" i="2004"/>
  <c r="AE24" i="2004"/>
  <c r="AE22" i="2004"/>
  <c r="AE19" i="2004"/>
  <c r="AE10" i="2004"/>
  <c r="AE20" i="2004"/>
  <c r="AE17" i="2004"/>
  <c r="AE15" i="2004"/>
  <c r="AE13" i="2004"/>
  <c r="AE8" i="2004"/>
  <c r="AE6" i="2004"/>
  <c r="AE17" i="2003"/>
  <c r="AE18" i="2003"/>
  <c r="AE11" i="2003"/>
  <c r="AE25" i="2003"/>
  <c r="AE16" i="2003"/>
  <c r="AE15" i="2003"/>
  <c r="AE6" i="2003"/>
  <c r="AE19" i="2003"/>
  <c r="AE7" i="2003"/>
  <c r="AE22" i="2003"/>
  <c r="AE14" i="2003"/>
  <c r="AE28" i="2003"/>
  <c r="AE20" i="2003"/>
  <c r="AE10" i="2003"/>
  <c r="AE27" i="2003"/>
  <c r="AE24" i="2003"/>
  <c r="AE21" i="2003"/>
  <c r="AE8" i="2003"/>
  <c r="AE23" i="2003"/>
  <c r="AE13" i="2003"/>
  <c r="AE9" i="2003"/>
  <c r="AE12" i="2003"/>
  <c r="AE26" i="2003"/>
  <c r="AE16" i="2001"/>
  <c r="AE7" i="2001"/>
  <c r="AE21" i="2001"/>
  <c r="AE19" i="2001"/>
  <c r="AE9" i="2001"/>
  <c r="AE13" i="2001"/>
  <c r="AE20" i="2001"/>
  <c r="AE23" i="2001"/>
  <c r="AE8" i="2001"/>
  <c r="AE22" i="2001"/>
  <c r="AE12" i="2001"/>
  <c r="AE15" i="2001"/>
  <c r="AE10" i="2001"/>
  <c r="AE25" i="2001"/>
  <c r="AE26" i="2001"/>
  <c r="AE6" i="2001"/>
  <c r="AE11" i="2001"/>
  <c r="AE24" i="2001"/>
  <c r="AE14" i="2001"/>
  <c r="AE18" i="2001"/>
  <c r="AE17" i="2001"/>
  <c r="AD28" i="2000"/>
  <c r="AE27" i="2000" l="1"/>
  <c r="AE17" i="2000"/>
  <c r="AE7" i="2000"/>
  <c r="AE10" i="2000"/>
  <c r="AE21" i="2000"/>
  <c r="AE15" i="2000"/>
  <c r="AE19" i="2000"/>
  <c r="AE23" i="2000"/>
  <c r="AE8" i="2000"/>
  <c r="AE22" i="2000"/>
  <c r="AE24" i="2000"/>
  <c r="AE16" i="2000"/>
  <c r="AE9" i="2000"/>
  <c r="AE25" i="2000"/>
  <c r="AE14" i="2000"/>
  <c r="AE13" i="2000"/>
  <c r="AE20" i="2000"/>
  <c r="AE11" i="2000"/>
  <c r="AE6" i="2000"/>
  <c r="AE26" i="2000"/>
  <c r="AE18" i="2000"/>
  <c r="AE12" i="2000"/>
</calcChain>
</file>

<file path=xl/sharedStrings.xml><?xml version="1.0" encoding="utf-8"?>
<sst xmlns="http://schemas.openxmlformats.org/spreadsheetml/2006/main" count="6961" uniqueCount="637">
  <si>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</si>
  <si>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</si>
  <si>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</si>
  <si>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</si>
  <si>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</si>
  <si>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</si>
  <si>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</si>
  <si>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</si>
  <si>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</si>
  <si>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</si>
  <si>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</si>
  <si>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</si>
  <si>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</si>
  <si>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</si>
  <si>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</si>
  <si>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</si>
  <si>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</si>
  <si>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</si>
  <si>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</si>
  <si>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</si>
  <si>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</si>
  <si>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</si>
  <si>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</si>
  <si>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</si>
  <si>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</si>
  <si>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</si>
  <si>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</si>
  <si>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</si>
  <si>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</si>
  <si>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</si>
  <si>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</si>
  <si>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</si>
  <si>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</si>
  <si>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</si>
  <si>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</si>
  <si>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</si>
  <si>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</si>
  <si>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</si>
  <si>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</si>
  <si>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</si>
  <si>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</si>
  <si>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</si>
  <si>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</si>
  <si>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</si>
  <si>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</si>
  <si>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</si>
  <si>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</si>
  <si>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</si>
  <si>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</si>
  <si>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</si>
  <si>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</si>
  <si>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</si>
  <si>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</si>
  <si>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</si>
  <si>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</si>
  <si>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</si>
  <si>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</si>
  <si>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발주</t>
    <phoneticPr fontId="2" type="noConversion"/>
  </si>
  <si>
    <t>불량 내역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</si>
  <si>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</si>
  <si>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</si>
  <si>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</si>
  <si>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</si>
  <si>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</si>
  <si>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</si>
  <si>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</si>
  <si>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</si>
  <si>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</si>
  <si>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</si>
  <si>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</si>
  <si>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</si>
  <si>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</si>
  <si>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</si>
  <si>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</si>
  <si>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</si>
  <si>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</si>
  <si>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</si>
  <si>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</si>
  <si>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</si>
  <si>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</si>
  <si>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</si>
  <si>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</si>
  <si>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</si>
  <si>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</si>
  <si>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</si>
  <si>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</si>
  <si>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</si>
  <si>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</si>
  <si>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</si>
  <si>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</si>
  <si>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</si>
  <si>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</si>
  <si>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</si>
  <si>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</si>
  <si>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</si>
  <si>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</si>
  <si>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</si>
  <si>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</si>
  <si>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</si>
  <si>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</si>
  <si>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</si>
  <si>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</si>
  <si>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</si>
  <si>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</si>
  <si>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</si>
  <si>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</si>
  <si>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</si>
  <si>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</si>
  <si>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</si>
  <si>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</si>
  <si>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고객사</t>
    <phoneticPr fontId="2" type="noConversion"/>
  </si>
  <si>
    <t>순위</t>
    <phoneticPr fontId="2" type="noConversion"/>
  </si>
  <si>
    <t>MCS</t>
    <phoneticPr fontId="2" type="noConversion"/>
  </si>
  <si>
    <t>DI</t>
    <phoneticPr fontId="2" type="noConversion"/>
  </si>
  <si>
    <t>PA46</t>
    <phoneticPr fontId="2" type="noConversion"/>
  </si>
  <si>
    <t>BASE</t>
    <phoneticPr fontId="2" type="noConversion"/>
  </si>
  <si>
    <t>SST</t>
    <phoneticPr fontId="2" type="noConversion"/>
  </si>
  <si>
    <t>14호기</t>
    <phoneticPr fontId="2" type="noConversion"/>
  </si>
  <si>
    <t>15호기</t>
    <phoneticPr fontId="2" type="noConversion"/>
  </si>
  <si>
    <t>16호기</t>
    <phoneticPr fontId="2" type="noConversion"/>
  </si>
  <si>
    <t>수리후양산</t>
    <phoneticPr fontId="2" type="noConversion"/>
  </si>
  <si>
    <t>품  명</t>
    <phoneticPr fontId="2" type="noConversion"/>
  </si>
  <si>
    <t>COVER</t>
    <phoneticPr fontId="2" type="noConversion"/>
  </si>
  <si>
    <t>STOPPPER</t>
    <phoneticPr fontId="2" type="noConversion"/>
  </si>
  <si>
    <t>발주분양산</t>
    <phoneticPr fontId="2" type="noConversion"/>
  </si>
  <si>
    <t>에젝터 이상</t>
    <phoneticPr fontId="2" type="noConversion"/>
  </si>
  <si>
    <t>소딕</t>
    <phoneticPr fontId="2" type="noConversion"/>
  </si>
  <si>
    <t>ADAPTER</t>
    <phoneticPr fontId="2" type="noConversion"/>
  </si>
  <si>
    <t>SF2255</t>
    <phoneticPr fontId="2" type="noConversion"/>
  </si>
  <si>
    <t>협의중</t>
    <phoneticPr fontId="2" type="noConversion"/>
  </si>
  <si>
    <t>SGF2030</t>
    <phoneticPr fontId="2" type="noConversion"/>
  </si>
  <si>
    <t>SGF2033 N/P</t>
    <phoneticPr fontId="2" type="noConversion"/>
  </si>
  <si>
    <t>에젝터 볼스크류 교체 완료</t>
    <phoneticPr fontId="2" type="noConversion"/>
  </si>
  <si>
    <t>K-AR3533-1A</t>
    <phoneticPr fontId="2" type="noConversion"/>
  </si>
  <si>
    <t>72P</t>
    <phoneticPr fontId="2" type="noConversion"/>
  </si>
  <si>
    <t>STOPPER</t>
    <phoneticPr fontId="2" type="noConversion"/>
  </si>
  <si>
    <t>K-AR3464-1A</t>
    <phoneticPr fontId="2" type="noConversion"/>
  </si>
  <si>
    <t>ACTUATOR</t>
    <phoneticPr fontId="2" type="noConversion"/>
  </si>
  <si>
    <t>HICON</t>
    <phoneticPr fontId="2" type="noConversion"/>
  </si>
  <si>
    <t>SGF2041</t>
    <phoneticPr fontId="2" type="noConversion"/>
  </si>
  <si>
    <t>JD4901</t>
    <phoneticPr fontId="2" type="noConversion"/>
  </si>
  <si>
    <t>SF2255 I/V</t>
    <phoneticPr fontId="2" type="noConversion"/>
  </si>
  <si>
    <t>SLIDER</t>
    <phoneticPr fontId="2" type="noConversion"/>
  </si>
  <si>
    <t>KR6463-GA180PLA</t>
  </si>
  <si>
    <t>EEEEEEEEEEEEEEEEEEEEEEEEE</t>
    <phoneticPr fontId="2" type="noConversion"/>
  </si>
  <si>
    <t>AMB1901D-JAA-R2</t>
    <phoneticPr fontId="2" type="noConversion"/>
  </si>
  <si>
    <t>K-JR01887-A221ATA</t>
    <phoneticPr fontId="2" type="noConversion"/>
  </si>
  <si>
    <t>K-AR3532-1A</t>
    <phoneticPr fontId="2" type="noConversion"/>
  </si>
  <si>
    <t>SF2255EPR</t>
    <phoneticPr fontId="2" type="noConversion"/>
  </si>
  <si>
    <t>31호기</t>
    <phoneticPr fontId="2" type="noConversion"/>
  </si>
  <si>
    <t>32호기</t>
    <phoneticPr fontId="2" type="noConversion"/>
  </si>
  <si>
    <t>33호기</t>
    <phoneticPr fontId="2" type="noConversion"/>
  </si>
  <si>
    <t>34호기</t>
    <phoneticPr fontId="2" type="noConversion"/>
  </si>
  <si>
    <t>35호기</t>
    <phoneticPr fontId="2" type="noConversion"/>
  </si>
  <si>
    <t>36호기</t>
    <phoneticPr fontId="2" type="noConversion"/>
  </si>
  <si>
    <t>전일 ISSUE 사항(01일)</t>
    <phoneticPr fontId="2" type="noConversion"/>
  </si>
  <si>
    <t>3</t>
    <phoneticPr fontId="2" type="noConversion"/>
  </si>
  <si>
    <t>SAMPLE 진행 사항(01일)</t>
    <phoneticPr fontId="2" type="noConversion"/>
  </si>
  <si>
    <t>9</t>
    <phoneticPr fontId="2" type="noConversion"/>
  </si>
  <si>
    <t>금형 수리 내역(01일)</t>
    <phoneticPr fontId="2" type="noConversion"/>
  </si>
  <si>
    <t>설비 점검 내역(01일)</t>
    <phoneticPr fontId="2" type="noConversion"/>
  </si>
  <si>
    <t>14</t>
    <phoneticPr fontId="2" type="noConversion"/>
  </si>
  <si>
    <t>당일 진행 사항(03일)</t>
    <phoneticPr fontId="2" type="noConversion"/>
  </si>
  <si>
    <t>AYE</t>
    <phoneticPr fontId="2" type="noConversion"/>
  </si>
  <si>
    <t>12</t>
    <phoneticPr fontId="2" type="noConversion"/>
  </si>
  <si>
    <t>SGP2030R</t>
    <phoneticPr fontId="2" type="noConversion"/>
  </si>
  <si>
    <t>수리후양산-&gt;코아파손2회정지</t>
    <phoneticPr fontId="2" type="noConversion"/>
  </si>
  <si>
    <t>13</t>
    <phoneticPr fontId="2" type="noConversion"/>
  </si>
  <si>
    <t>SGF2050</t>
    <phoneticPr fontId="2" type="noConversion"/>
  </si>
  <si>
    <t>SGP2030R N/P</t>
    <phoneticPr fontId="2" type="noConversion"/>
  </si>
  <si>
    <t>KR6170BD740UB</t>
    <phoneticPr fontId="2" type="noConversion"/>
  </si>
  <si>
    <t>7301</t>
    <phoneticPr fontId="2" type="noConversion"/>
  </si>
  <si>
    <t>코아파손정지</t>
    <phoneticPr fontId="2" type="noConversion"/>
  </si>
  <si>
    <t>라인</t>
    <phoneticPr fontId="2" type="noConversion"/>
  </si>
  <si>
    <t>Pattern Cover-1</t>
    <phoneticPr fontId="2" type="noConversion"/>
  </si>
  <si>
    <t>LCP ESD</t>
    <phoneticPr fontId="2" type="noConversion"/>
  </si>
  <si>
    <t>KR6458BB456PMA</t>
    <phoneticPr fontId="2" type="noConversion"/>
  </si>
  <si>
    <t>NP413-187-105#IN-A</t>
    <phoneticPr fontId="2" type="noConversion"/>
  </si>
  <si>
    <t>AMB0172A-KAA-R3</t>
    <phoneticPr fontId="2" type="noConversion"/>
  </si>
  <si>
    <t>AMB0240A-KAA-R2</t>
    <phoneticPr fontId="2" type="noConversion"/>
  </si>
  <si>
    <t>AMB07U1A-KAA-R5</t>
    <phoneticPr fontId="2" type="noConversion"/>
  </si>
  <si>
    <t>AMM0890A-KAA-R1</t>
    <phoneticPr fontId="2" type="noConversion"/>
  </si>
  <si>
    <t>AMB0443A-KAA-R1</t>
    <phoneticPr fontId="2" type="noConversion"/>
  </si>
  <si>
    <t>NP635-315-006#LB</t>
    <phoneticPr fontId="2" type="noConversion"/>
  </si>
  <si>
    <t>KR6156BA841YA</t>
    <phoneticPr fontId="2" type="noConversion"/>
  </si>
  <si>
    <t>NP413-078-043#GP-1</t>
    <phoneticPr fontId="2" type="noConversion"/>
  </si>
  <si>
    <t>9</t>
    <phoneticPr fontId="2" type="noConversion"/>
  </si>
  <si>
    <t>AMM0890A-KAA-R1</t>
    <phoneticPr fontId="2" type="noConversion"/>
  </si>
  <si>
    <r>
      <t>2021년 05월 01일 일일생산현황</t>
    </r>
    <r>
      <rPr>
        <b/>
        <sz val="14"/>
        <color indexed="8"/>
        <rFont val="굴림체"/>
        <family val="3"/>
        <charset val="129"/>
      </rPr>
      <t>(02일 09시 현재)</t>
    </r>
    <phoneticPr fontId="2" type="noConversion"/>
  </si>
  <si>
    <t>05월 호기별 가동현황</t>
    <phoneticPr fontId="2" type="noConversion"/>
  </si>
  <si>
    <t>HSF05-M01B1</t>
    <phoneticPr fontId="2" type="noConversion"/>
  </si>
  <si>
    <t>AMB1930A-KAA-R3</t>
    <phoneticPr fontId="2" type="noConversion"/>
  </si>
  <si>
    <t>수리후양산-&gt;눌림수리</t>
    <phoneticPr fontId="2" type="noConversion"/>
  </si>
  <si>
    <t>AMB0240A-KAA-R2</t>
    <phoneticPr fontId="2" type="noConversion"/>
  </si>
  <si>
    <t>승인후양산</t>
    <phoneticPr fontId="2" type="noConversion"/>
  </si>
  <si>
    <t>8</t>
    <phoneticPr fontId="2" type="noConversion"/>
  </si>
  <si>
    <t>STOPPER</t>
    <phoneticPr fontId="2" type="noConversion"/>
  </si>
  <si>
    <t>KR6414-B414UA</t>
    <phoneticPr fontId="2" type="noConversion"/>
  </si>
  <si>
    <t>발주분양산</t>
    <phoneticPr fontId="2" type="noConversion"/>
  </si>
  <si>
    <t>SST</t>
    <phoneticPr fontId="2" type="noConversion"/>
  </si>
  <si>
    <t>4</t>
    <phoneticPr fontId="2" type="noConversion"/>
  </si>
  <si>
    <t>6</t>
    <phoneticPr fontId="2" type="noConversion"/>
  </si>
  <si>
    <t>KR6414-D414PA</t>
    <phoneticPr fontId="2" type="noConversion"/>
  </si>
  <si>
    <r>
      <t>2021년 05월 03일 일일생산현황</t>
    </r>
    <r>
      <rPr>
        <b/>
        <sz val="14"/>
        <color indexed="8"/>
        <rFont val="굴림체"/>
        <family val="3"/>
        <charset val="129"/>
      </rPr>
      <t>(04일 09시 현재)</t>
    </r>
    <phoneticPr fontId="2" type="noConversion"/>
  </si>
  <si>
    <t>NP636-2406-001#SP</t>
    <phoneticPr fontId="2" type="noConversion"/>
  </si>
  <si>
    <t xml:space="preserve">SGF2033 </t>
    <phoneticPr fontId="2" type="noConversion"/>
  </si>
  <si>
    <t>SGF2033</t>
    <phoneticPr fontId="2" type="noConversion"/>
  </si>
  <si>
    <t>전일 ISSUE 사항(03일)</t>
    <phoneticPr fontId="2" type="noConversion"/>
  </si>
  <si>
    <t>발주분양산-&gt;코아파손3회정지</t>
    <phoneticPr fontId="2" type="noConversion"/>
  </si>
  <si>
    <t>코아파손수리</t>
    <phoneticPr fontId="2" type="noConversion"/>
  </si>
  <si>
    <t>11</t>
    <phoneticPr fontId="2" type="noConversion"/>
  </si>
  <si>
    <t>수리후양산-&gt;코아파손정지</t>
    <phoneticPr fontId="2" type="noConversion"/>
  </si>
  <si>
    <t>당일 진행 사항(04일)</t>
    <phoneticPr fontId="2" type="noConversion"/>
  </si>
  <si>
    <t>AMM0853A-KAA-R1</t>
    <phoneticPr fontId="2" type="noConversion"/>
  </si>
  <si>
    <t>SAMPLE 진행 사항(03일)</t>
    <phoneticPr fontId="2" type="noConversion"/>
  </si>
  <si>
    <t>AMB07AA5A-KAA-R1</t>
    <phoneticPr fontId="2" type="noConversion"/>
  </si>
  <si>
    <t>수정</t>
    <phoneticPr fontId="2" type="noConversion"/>
  </si>
  <si>
    <t>2</t>
    <phoneticPr fontId="2" type="noConversion"/>
  </si>
  <si>
    <t>AMB20D7A-KAA-R5</t>
    <phoneticPr fontId="2" type="noConversion"/>
  </si>
  <si>
    <t>금형 수리 내역(03일)</t>
    <phoneticPr fontId="2" type="noConversion"/>
  </si>
  <si>
    <t>설비 점검 내역(03일)</t>
    <phoneticPr fontId="2" type="noConversion"/>
  </si>
  <si>
    <r>
      <t>2021년 05월 04일 일일생산현황</t>
    </r>
    <r>
      <rPr>
        <b/>
        <sz val="14"/>
        <color indexed="8"/>
        <rFont val="굴림체"/>
        <family val="3"/>
        <charset val="129"/>
      </rPr>
      <t>(05일 09시 현재)</t>
    </r>
    <phoneticPr fontId="2" type="noConversion"/>
  </si>
  <si>
    <t>GN2330</t>
    <phoneticPr fontId="2" type="noConversion"/>
  </si>
  <si>
    <t>전일 ISSUE 사항(04일)</t>
    <phoneticPr fontId="2" type="noConversion"/>
  </si>
  <si>
    <t>당일 진행 사항(05일)</t>
    <phoneticPr fontId="2" type="noConversion"/>
  </si>
  <si>
    <t>NP635-315-007#LB</t>
    <phoneticPr fontId="2" type="noConversion"/>
  </si>
  <si>
    <t>SAMPLE 진행 사항(04일)</t>
    <phoneticPr fontId="2" type="noConversion"/>
  </si>
  <si>
    <t>KR6197-GR153JA</t>
    <phoneticPr fontId="2" type="noConversion"/>
  </si>
  <si>
    <t>BLUE</t>
    <phoneticPr fontId="2" type="noConversion"/>
  </si>
  <si>
    <t>승인용</t>
    <phoneticPr fontId="2" type="noConversion"/>
  </si>
  <si>
    <t>5</t>
    <phoneticPr fontId="2" type="noConversion"/>
  </si>
  <si>
    <t>288F84M-B121A</t>
    <phoneticPr fontId="2" type="noConversion"/>
  </si>
  <si>
    <t>OKINS</t>
    <phoneticPr fontId="2" type="noConversion"/>
  </si>
  <si>
    <t>G1300H</t>
    <phoneticPr fontId="2" type="noConversion"/>
  </si>
  <si>
    <t>금형 수리 내역(04일)</t>
    <phoneticPr fontId="2" type="noConversion"/>
  </si>
  <si>
    <t>설비 점검 내역(04일)</t>
    <phoneticPr fontId="2" type="noConversion"/>
  </si>
  <si>
    <r>
      <t>2021년 05월 05일 일일생산현황</t>
    </r>
    <r>
      <rPr>
        <b/>
        <sz val="14"/>
        <color indexed="8"/>
        <rFont val="굴림체"/>
        <family val="3"/>
        <charset val="129"/>
      </rPr>
      <t>(06일 09시 현재)</t>
    </r>
    <phoneticPr fontId="2" type="noConversion"/>
  </si>
  <si>
    <t>전일 ISSUE 사항(05일)</t>
    <phoneticPr fontId="2" type="noConversion"/>
  </si>
  <si>
    <t>HB1208-10M3</t>
    <phoneticPr fontId="2" type="noConversion"/>
  </si>
  <si>
    <t>FLOTING</t>
    <phoneticPr fontId="2" type="noConversion"/>
  </si>
  <si>
    <t>당일 진행 사항(06일)</t>
    <phoneticPr fontId="2" type="noConversion"/>
  </si>
  <si>
    <t>HDBF05-M02B1</t>
    <phoneticPr fontId="2" type="noConversion"/>
  </si>
  <si>
    <t>TOP</t>
    <phoneticPr fontId="2" type="noConversion"/>
  </si>
  <si>
    <t>HB1208-10M1</t>
    <phoneticPr fontId="2" type="noConversion"/>
  </si>
  <si>
    <t>FLOATING</t>
    <phoneticPr fontId="2" type="noConversion"/>
  </si>
  <si>
    <t>SAMPLE 진행 사항(05일)</t>
    <phoneticPr fontId="2" type="noConversion"/>
  </si>
  <si>
    <t>AMM08008B-KAA-R1</t>
    <phoneticPr fontId="2" type="noConversion"/>
  </si>
  <si>
    <t>미성형2회정지</t>
    <phoneticPr fontId="2" type="noConversion"/>
  </si>
  <si>
    <t>AMM08008A-KAA-R1</t>
    <phoneticPr fontId="2" type="noConversion"/>
  </si>
  <si>
    <t>금형 수리 내역(05일)</t>
    <phoneticPr fontId="2" type="noConversion"/>
  </si>
  <si>
    <t>설비 점검 내역(05일)</t>
    <phoneticPr fontId="2" type="noConversion"/>
  </si>
  <si>
    <r>
      <t>2021년 05월 06일 일일생산현황</t>
    </r>
    <r>
      <rPr>
        <b/>
        <sz val="14"/>
        <color indexed="8"/>
        <rFont val="굴림체"/>
        <family val="3"/>
        <charset val="129"/>
      </rPr>
      <t>(07일 09시 현재)</t>
    </r>
    <phoneticPr fontId="2" type="noConversion"/>
  </si>
  <si>
    <t>SGF2041 N/P</t>
    <phoneticPr fontId="2" type="noConversion"/>
  </si>
  <si>
    <t>HDBF05-M01B1</t>
    <phoneticPr fontId="2" type="noConversion"/>
  </si>
  <si>
    <t>전일 ISSUE 사항(06일)</t>
    <phoneticPr fontId="2" type="noConversion"/>
  </si>
  <si>
    <t>발주분양산-&gt;1C뜯김막음</t>
    <phoneticPr fontId="2" type="noConversion"/>
  </si>
  <si>
    <t>발주분양산-&gt;코아파손수리-&gt;1C파손막음</t>
    <phoneticPr fontId="2" type="noConversion"/>
  </si>
  <si>
    <t>당일 진행 사항(07일)</t>
    <phoneticPr fontId="2" type="noConversion"/>
  </si>
  <si>
    <t>HB12X12-1.3-22B1</t>
    <phoneticPr fontId="2" type="noConversion"/>
  </si>
  <si>
    <t>12*12</t>
    <phoneticPr fontId="2" type="noConversion"/>
  </si>
  <si>
    <t>AMB0157A-KAA-R1</t>
    <phoneticPr fontId="2" type="noConversion"/>
  </si>
  <si>
    <t>SAMPLE 진행 사항(06일)</t>
    <phoneticPr fontId="2" type="noConversion"/>
  </si>
  <si>
    <t>설비 점검 내역(06일)</t>
    <phoneticPr fontId="2" type="noConversion"/>
  </si>
  <si>
    <t>금형 수리 내역(06일)</t>
    <phoneticPr fontId="2" type="noConversion"/>
  </si>
  <si>
    <r>
      <t>2021년 05월 07일 일일생산현황</t>
    </r>
    <r>
      <rPr>
        <b/>
        <sz val="14"/>
        <color indexed="8"/>
        <rFont val="굴림체"/>
        <family val="3"/>
        <charset val="129"/>
      </rPr>
      <t>(08일 09시 현재)</t>
    </r>
    <phoneticPr fontId="2" type="noConversion"/>
  </si>
  <si>
    <t>BOTTOM</t>
    <phoneticPr fontId="2" type="noConversion"/>
  </si>
  <si>
    <t>AMB0228A-KAA-R1</t>
    <phoneticPr fontId="2" type="noConversion"/>
  </si>
  <si>
    <t>전일 ISSUE 사항(07일)</t>
    <phoneticPr fontId="2" type="noConversion"/>
  </si>
  <si>
    <t>2C양산</t>
    <phoneticPr fontId="2" type="noConversion"/>
  </si>
  <si>
    <t>수리후양산-&gt;뜯김2회정지</t>
    <phoneticPr fontId="2" type="noConversion"/>
  </si>
  <si>
    <t>수리후양산-&gt;코아파손수리</t>
    <phoneticPr fontId="2" type="noConversion"/>
  </si>
  <si>
    <t>14</t>
    <phoneticPr fontId="2" type="noConversion"/>
  </si>
  <si>
    <t>AMB0228A-KAA-R1</t>
    <phoneticPr fontId="2" type="noConversion"/>
  </si>
  <si>
    <t>당일 진행 사항(08일)</t>
    <phoneticPr fontId="2" type="noConversion"/>
  </si>
  <si>
    <t>HRCS-00C14</t>
    <phoneticPr fontId="2" type="noConversion"/>
  </si>
  <si>
    <t>SAMPLE 진행 사항(07일)</t>
    <phoneticPr fontId="2" type="noConversion"/>
  </si>
  <si>
    <t>AMB0188A-KAA-R1</t>
    <phoneticPr fontId="2" type="noConversion"/>
  </si>
  <si>
    <t>뜯김2회정지</t>
    <phoneticPr fontId="2" type="noConversion"/>
  </si>
  <si>
    <t>금형 수리 내역(07일)</t>
    <phoneticPr fontId="2" type="noConversion"/>
  </si>
  <si>
    <t>설비 점검 내역(07일)</t>
    <phoneticPr fontId="2" type="noConversion"/>
  </si>
  <si>
    <r>
      <t>2021년 05월 08일 일일생산현황</t>
    </r>
    <r>
      <rPr>
        <b/>
        <sz val="14"/>
        <color indexed="8"/>
        <rFont val="굴림체"/>
        <family val="3"/>
        <charset val="129"/>
      </rPr>
      <t>(09일 09시 현재)</t>
    </r>
    <phoneticPr fontId="2" type="noConversion"/>
  </si>
  <si>
    <t>전일 ISSUE 사항(08일)</t>
    <phoneticPr fontId="2" type="noConversion"/>
  </si>
  <si>
    <t>코아파손1C막음</t>
    <phoneticPr fontId="2" type="noConversion"/>
  </si>
  <si>
    <t>뜯김2회수리</t>
    <phoneticPr fontId="2" type="noConversion"/>
  </si>
  <si>
    <t>코아파손2회정지</t>
    <phoneticPr fontId="2" type="noConversion"/>
  </si>
  <si>
    <t>당일 진행 사항(10일)</t>
    <phoneticPr fontId="2" type="noConversion"/>
  </si>
  <si>
    <t>KR6156DB841CA</t>
    <phoneticPr fontId="2" type="noConversion"/>
  </si>
  <si>
    <t>7</t>
    <phoneticPr fontId="2" type="noConversion"/>
  </si>
  <si>
    <t>24P(4POST)</t>
    <phoneticPr fontId="2" type="noConversion"/>
  </si>
  <si>
    <t>16</t>
    <phoneticPr fontId="2" type="noConversion"/>
  </si>
  <si>
    <t>SAMPLE 진행 사항(08일)</t>
    <phoneticPr fontId="2" type="noConversion"/>
  </si>
  <si>
    <t>KR6185-GS048JA</t>
    <phoneticPr fontId="2" type="noConversion"/>
  </si>
  <si>
    <t>옵션</t>
    <phoneticPr fontId="2" type="noConversion"/>
  </si>
  <si>
    <t>금형 수리 내역(08일)</t>
    <phoneticPr fontId="2" type="noConversion"/>
  </si>
  <si>
    <t>설비 점검 내역(08일)</t>
    <phoneticPr fontId="2" type="noConversion"/>
  </si>
  <si>
    <r>
      <t>2021년 05월 10일 일일생산현황</t>
    </r>
    <r>
      <rPr>
        <b/>
        <sz val="14"/>
        <color indexed="8"/>
        <rFont val="굴림체"/>
        <family val="3"/>
        <charset val="129"/>
      </rPr>
      <t>(11일 09시 현재)</t>
    </r>
    <phoneticPr fontId="2" type="noConversion"/>
  </si>
  <si>
    <t>ODT</t>
    <phoneticPr fontId="2" type="noConversion"/>
  </si>
  <si>
    <t>24V</t>
    <phoneticPr fontId="2" type="noConversion"/>
  </si>
  <si>
    <t>NYLON</t>
    <phoneticPr fontId="2" type="noConversion"/>
  </si>
  <si>
    <t>24P</t>
    <phoneticPr fontId="2" type="noConversion"/>
  </si>
  <si>
    <t>전일 ISSUE 사항(10일)</t>
    <phoneticPr fontId="2" type="noConversion"/>
  </si>
  <si>
    <t>치수NG-&gt;수리후양산-&gt;코아파손정지</t>
    <phoneticPr fontId="2" type="noConversion"/>
  </si>
  <si>
    <t>뜯김수리</t>
    <phoneticPr fontId="2" type="noConversion"/>
  </si>
  <si>
    <t>당일 진행 사항(11일)</t>
    <phoneticPr fontId="2" type="noConversion"/>
  </si>
  <si>
    <t>6*12 BOTTOM</t>
    <phoneticPr fontId="2" type="noConversion"/>
  </si>
  <si>
    <t>HDBF05-M04B1</t>
    <phoneticPr fontId="2" type="noConversion"/>
  </si>
  <si>
    <t>30P(4POST)</t>
    <phoneticPr fontId="2" type="noConversion"/>
  </si>
  <si>
    <t>1</t>
    <phoneticPr fontId="2" type="noConversion"/>
  </si>
  <si>
    <t>AM0115B-K</t>
    <phoneticPr fontId="2" type="noConversion"/>
  </si>
  <si>
    <t>SAMPLE 진행 사항(10일)</t>
    <phoneticPr fontId="2" type="noConversion"/>
  </si>
  <si>
    <t>AMB0248A-KAA-R1</t>
    <phoneticPr fontId="2" type="noConversion"/>
  </si>
  <si>
    <t>AMB0250A-KAA-R1</t>
    <phoneticPr fontId="2" type="noConversion"/>
  </si>
  <si>
    <t>AMB0196A-KAA-R1</t>
    <phoneticPr fontId="2" type="noConversion"/>
  </si>
  <si>
    <t>AMB1940A-KAA-R1</t>
    <phoneticPr fontId="2" type="noConversion"/>
  </si>
  <si>
    <t>AMB1938A-KAA-R1</t>
    <phoneticPr fontId="2" type="noConversion"/>
  </si>
  <si>
    <t>AMB0194A-KAA-R1</t>
    <phoneticPr fontId="2" type="noConversion"/>
  </si>
  <si>
    <t>신작</t>
    <phoneticPr fontId="2" type="noConversion"/>
  </si>
  <si>
    <t>뜯김정지</t>
    <phoneticPr fontId="2" type="noConversion"/>
  </si>
  <si>
    <t>뜯김2회진행</t>
    <phoneticPr fontId="2" type="noConversion"/>
  </si>
  <si>
    <t>금형 수리 내역(10일)</t>
    <phoneticPr fontId="2" type="noConversion"/>
  </si>
  <si>
    <t>설비 점검 내역(10일)</t>
    <phoneticPr fontId="2" type="noConversion"/>
  </si>
  <si>
    <r>
      <t>2021년 05월 11일 일일생산현황</t>
    </r>
    <r>
      <rPr>
        <b/>
        <sz val="14"/>
        <color indexed="8"/>
        <rFont val="굴림체"/>
        <family val="3"/>
        <charset val="129"/>
      </rPr>
      <t>(12일 09시 현재)</t>
    </r>
    <phoneticPr fontId="2" type="noConversion"/>
  </si>
  <si>
    <t>38P</t>
    <phoneticPr fontId="2" type="noConversion"/>
  </si>
  <si>
    <t>AM0164A-A</t>
    <phoneticPr fontId="2" type="noConversion"/>
  </si>
  <si>
    <t>E PR</t>
    <phoneticPr fontId="2" type="noConversion"/>
  </si>
  <si>
    <t>30P</t>
    <phoneticPr fontId="2" type="noConversion"/>
  </si>
  <si>
    <t>전일 ISSUE 사항(11일)</t>
    <phoneticPr fontId="2" type="noConversion"/>
  </si>
  <si>
    <t>발주분양산-&gt;설비이상정지</t>
    <phoneticPr fontId="2" type="noConversion"/>
  </si>
  <si>
    <t>수정후양산-&gt;2회진행</t>
    <phoneticPr fontId="2" type="noConversion"/>
  </si>
  <si>
    <t>발주분양산-&gt;뜯김수리</t>
    <phoneticPr fontId="2" type="noConversion"/>
  </si>
  <si>
    <t>당일 진행 사항(12일)</t>
    <phoneticPr fontId="2" type="noConversion"/>
  </si>
  <si>
    <t>HB1208-10M2</t>
    <phoneticPr fontId="2" type="noConversion"/>
  </si>
  <si>
    <t>AMB0359A-KAA-R1</t>
    <phoneticPr fontId="2" type="noConversion"/>
  </si>
  <si>
    <t>SAMPLE 진행 사항(11일)</t>
    <phoneticPr fontId="2" type="noConversion"/>
  </si>
  <si>
    <t>수리</t>
    <phoneticPr fontId="2" type="noConversion"/>
  </si>
  <si>
    <t>2회진행</t>
    <phoneticPr fontId="2" type="noConversion"/>
  </si>
  <si>
    <t>금형 수리 내역(11일)</t>
    <phoneticPr fontId="2" type="noConversion"/>
  </si>
  <si>
    <t>설비 점검 내역(11일)</t>
    <phoneticPr fontId="2" type="noConversion"/>
  </si>
  <si>
    <r>
      <t>2021년 05월 12일 일일생산현황</t>
    </r>
    <r>
      <rPr>
        <b/>
        <sz val="14"/>
        <color indexed="8"/>
        <rFont val="굴림체"/>
        <family val="3"/>
        <charset val="129"/>
      </rPr>
      <t>(13일 09시 현재)</t>
    </r>
    <phoneticPr fontId="2" type="noConversion"/>
  </si>
  <si>
    <t>HDB0.65-S2</t>
    <phoneticPr fontId="2" type="noConversion"/>
  </si>
  <si>
    <t>LEAD GUIDE</t>
    <phoneticPr fontId="2" type="noConversion"/>
  </si>
  <si>
    <t>HDB0.65-L5</t>
    <phoneticPr fontId="2" type="noConversion"/>
  </si>
  <si>
    <t>전일 ISSUE 사항(12일)</t>
    <phoneticPr fontId="2" type="noConversion"/>
  </si>
  <si>
    <t>발주분양산-&gt;파손진행</t>
    <phoneticPr fontId="2" type="noConversion"/>
  </si>
  <si>
    <t>치수확인후양산</t>
    <phoneticPr fontId="2" type="noConversion"/>
  </si>
  <si>
    <t>수리후양산-&gt;파손-&gt;뜯김수리</t>
    <phoneticPr fontId="2" type="noConversion"/>
  </si>
  <si>
    <t>15</t>
    <phoneticPr fontId="2" type="noConversion"/>
  </si>
  <si>
    <t>당일 진행 사항(13일)</t>
    <phoneticPr fontId="2" type="noConversion"/>
  </si>
  <si>
    <t>KR6463-GA180PLA</t>
    <phoneticPr fontId="2" type="noConversion"/>
  </si>
  <si>
    <t>K-AR3550-1B</t>
    <phoneticPr fontId="2" type="noConversion"/>
  </si>
  <si>
    <t>SAMPLE 진행 사항(12일)</t>
    <phoneticPr fontId="2" type="noConversion"/>
  </si>
  <si>
    <t>KR6165AGG154HA</t>
    <phoneticPr fontId="2" type="noConversion"/>
  </si>
  <si>
    <t>KR6448AC180TA</t>
    <phoneticPr fontId="2" type="noConversion"/>
  </si>
  <si>
    <t>2C</t>
    <phoneticPr fontId="2" type="noConversion"/>
  </si>
  <si>
    <t>금형 수리 내역(12일)</t>
    <phoneticPr fontId="2" type="noConversion"/>
  </si>
  <si>
    <t>설비 점검 내역(12일)</t>
    <phoneticPr fontId="2" type="noConversion"/>
  </si>
  <si>
    <r>
      <t>2021년 05월 13일 일일생산현황</t>
    </r>
    <r>
      <rPr>
        <b/>
        <sz val="14"/>
        <color indexed="8"/>
        <rFont val="굴림체"/>
        <family val="3"/>
        <charset val="129"/>
      </rPr>
      <t>(14일 09시 현재)</t>
    </r>
    <phoneticPr fontId="2" type="noConversion"/>
  </si>
  <si>
    <t>PX13322W/T</t>
    <phoneticPr fontId="2" type="noConversion"/>
  </si>
  <si>
    <t>전일 ISSUE 사항(13일)</t>
    <phoneticPr fontId="2" type="noConversion"/>
  </si>
  <si>
    <t>당일 진행 사항(14일)</t>
    <phoneticPr fontId="2" type="noConversion"/>
  </si>
  <si>
    <t>K-JR01903-A180AWB</t>
    <phoneticPr fontId="2" type="noConversion"/>
  </si>
  <si>
    <t>K-JR01903-B180AWB</t>
    <phoneticPr fontId="2" type="noConversion"/>
  </si>
  <si>
    <t>K-AR3549-1B</t>
    <phoneticPr fontId="2" type="noConversion"/>
  </si>
  <si>
    <t>AMB0150A-KAA-R1</t>
    <phoneticPr fontId="2" type="noConversion"/>
  </si>
  <si>
    <t>세척</t>
    <phoneticPr fontId="2" type="noConversion"/>
  </si>
  <si>
    <t>SAMPLE 진행 사항(13일)</t>
    <phoneticPr fontId="2" type="noConversion"/>
  </si>
  <si>
    <t>PX13322 W/T</t>
    <phoneticPr fontId="2" type="noConversion"/>
  </si>
  <si>
    <t>1C</t>
    <phoneticPr fontId="2" type="noConversion"/>
  </si>
  <si>
    <t>뜯김</t>
    <phoneticPr fontId="2" type="noConversion"/>
  </si>
  <si>
    <t>4C</t>
    <phoneticPr fontId="2" type="noConversion"/>
  </si>
  <si>
    <t>금형 수리 내역(13일)</t>
    <phoneticPr fontId="2" type="noConversion"/>
  </si>
  <si>
    <t>설비 점검 내역(13일)</t>
    <phoneticPr fontId="2" type="noConversion"/>
  </si>
  <si>
    <r>
      <t>2021년 05월 14일 일일생산현황</t>
    </r>
    <r>
      <rPr>
        <b/>
        <sz val="14"/>
        <color indexed="8"/>
        <rFont val="굴림체"/>
        <family val="3"/>
        <charset val="129"/>
      </rPr>
      <t>(15일 09시 현재)</t>
    </r>
    <phoneticPr fontId="2" type="noConversion"/>
  </si>
  <si>
    <t>K-AR3548-1B</t>
    <phoneticPr fontId="2" type="noConversion"/>
  </si>
  <si>
    <t>전일 ISSUE 사항(14일)</t>
    <phoneticPr fontId="2" type="noConversion"/>
  </si>
  <si>
    <t>발주분양산-&gt;뜯김정지</t>
    <phoneticPr fontId="2" type="noConversion"/>
  </si>
  <si>
    <t>발주분양산-&gt;눌림-&gt;미성형정지</t>
    <phoneticPr fontId="2" type="noConversion"/>
  </si>
  <si>
    <t>세척후양산-&gt;BURR정지</t>
    <phoneticPr fontId="2" type="noConversion"/>
  </si>
  <si>
    <t>AMB0150A-HAA-R1</t>
    <phoneticPr fontId="2" type="noConversion"/>
  </si>
  <si>
    <t>당일 진행 사항(15일)</t>
    <phoneticPr fontId="2" type="noConversion"/>
  </si>
  <si>
    <t>HDB0.65-T4</t>
    <phoneticPr fontId="2" type="noConversion"/>
  </si>
  <si>
    <t>HDB0.65-B1</t>
    <phoneticPr fontId="2" type="noConversion"/>
  </si>
  <si>
    <t>SAMPLE 진행 사항(14일)</t>
    <phoneticPr fontId="2" type="noConversion"/>
  </si>
  <si>
    <t>금형 수리 내역(14일)</t>
    <phoneticPr fontId="2" type="noConversion"/>
  </si>
  <si>
    <t>설비 점검 내역(14일)</t>
    <phoneticPr fontId="2" type="noConversion"/>
  </si>
  <si>
    <r>
      <t>2021년 05월 15일 일일생산현황</t>
    </r>
    <r>
      <rPr>
        <b/>
        <sz val="14"/>
        <color indexed="8"/>
        <rFont val="굴림체"/>
        <family val="3"/>
        <charset val="129"/>
      </rPr>
      <t>(16일 09시 현재)</t>
    </r>
    <phoneticPr fontId="2" type="noConversion"/>
  </si>
  <si>
    <t>전일 ISSUE 사항(15일)</t>
    <phoneticPr fontId="2" type="noConversion"/>
  </si>
  <si>
    <t>HDB0.65-T4</t>
    <phoneticPr fontId="2" type="noConversion"/>
  </si>
  <si>
    <t>발주분양산-&gt;뜯김2회정지</t>
    <phoneticPr fontId="2" type="noConversion"/>
  </si>
  <si>
    <t>당일 진행 사항(17일)</t>
    <phoneticPr fontId="2" type="noConversion"/>
  </si>
  <si>
    <t>HDBF05-M01B1</t>
    <phoneticPr fontId="2" type="noConversion"/>
  </si>
  <si>
    <t>3</t>
    <phoneticPr fontId="2" type="noConversion"/>
  </si>
  <si>
    <t>SAMPLE 진행 사항(15일)</t>
    <phoneticPr fontId="2" type="noConversion"/>
  </si>
  <si>
    <t>AYE</t>
    <phoneticPr fontId="2" type="noConversion"/>
  </si>
  <si>
    <t>NP413-136-111#GP</t>
    <phoneticPr fontId="2" type="noConversion"/>
  </si>
  <si>
    <t>SGP2030R N/P</t>
    <phoneticPr fontId="2" type="noConversion"/>
  </si>
  <si>
    <t>신작</t>
    <phoneticPr fontId="2" type="noConversion"/>
  </si>
  <si>
    <t>2</t>
    <phoneticPr fontId="2" type="noConversion"/>
  </si>
  <si>
    <t>금형 수리 내역(15일)</t>
    <phoneticPr fontId="2" type="noConversion"/>
  </si>
  <si>
    <t>설비 점검 내역(15일)</t>
    <phoneticPr fontId="2" type="noConversion"/>
  </si>
  <si>
    <r>
      <t>2021년 05월 17일 일일생산현황</t>
    </r>
    <r>
      <rPr>
        <b/>
        <sz val="14"/>
        <color indexed="8"/>
        <rFont val="굴림체"/>
        <family val="3"/>
        <charset val="129"/>
      </rPr>
      <t>(18일 09시 현재)</t>
    </r>
    <phoneticPr fontId="2" type="noConversion"/>
  </si>
  <si>
    <t>전일 ISSUE 사항(17일)</t>
    <phoneticPr fontId="2" type="noConversion"/>
  </si>
  <si>
    <t>수리후양산-&gt;코아파손1C막음</t>
    <phoneticPr fontId="2" type="noConversion"/>
  </si>
  <si>
    <t>수리후양산-&gt;단차2회-&gt;뜯김정지</t>
    <phoneticPr fontId="2" type="noConversion"/>
  </si>
  <si>
    <t>이물2회수리</t>
    <phoneticPr fontId="2" type="noConversion"/>
  </si>
  <si>
    <t>HDBF05-M01B1</t>
    <phoneticPr fontId="2" type="noConversion"/>
  </si>
  <si>
    <t>BURR수리</t>
    <phoneticPr fontId="2" type="noConversion"/>
  </si>
  <si>
    <t>3</t>
    <phoneticPr fontId="2" type="noConversion"/>
  </si>
  <si>
    <t>당일 진행 사항(18일)</t>
    <phoneticPr fontId="2" type="noConversion"/>
  </si>
  <si>
    <t>KR6166BB299UA</t>
    <phoneticPr fontId="2" type="noConversion"/>
  </si>
  <si>
    <t>발주분양산</t>
    <phoneticPr fontId="2" type="noConversion"/>
  </si>
  <si>
    <t>SST</t>
    <phoneticPr fontId="2" type="noConversion"/>
  </si>
  <si>
    <t>11</t>
    <phoneticPr fontId="2" type="noConversion"/>
  </si>
  <si>
    <t>AMB0172A-KAA-R3(2C)</t>
    <phoneticPr fontId="2" type="noConversion"/>
  </si>
  <si>
    <t>세척후양산</t>
    <phoneticPr fontId="2" type="noConversion"/>
  </si>
  <si>
    <t>MCS</t>
    <phoneticPr fontId="2" type="noConversion"/>
  </si>
  <si>
    <t>15</t>
    <phoneticPr fontId="2" type="noConversion"/>
  </si>
  <si>
    <t>HDBF05-M02B1</t>
    <phoneticPr fontId="2" type="noConversion"/>
  </si>
  <si>
    <t>2</t>
    <phoneticPr fontId="2" type="noConversion"/>
  </si>
  <si>
    <t>SLIDER</t>
    <phoneticPr fontId="2" type="noConversion"/>
  </si>
  <si>
    <t>SAMPLE 진행 사항(17일)</t>
    <phoneticPr fontId="2" type="noConversion"/>
  </si>
  <si>
    <t>원재료</t>
    <phoneticPr fontId="2" type="noConversion"/>
  </si>
  <si>
    <t>HICON</t>
    <phoneticPr fontId="2" type="noConversion"/>
  </si>
  <si>
    <t>HDB08PL-96S2(B)</t>
    <phoneticPr fontId="2" type="noConversion"/>
  </si>
  <si>
    <t>SGF2030 N/P</t>
    <phoneticPr fontId="2" type="noConversion"/>
  </si>
  <si>
    <t>수정</t>
    <phoneticPr fontId="2" type="noConversion"/>
  </si>
  <si>
    <t>1</t>
    <phoneticPr fontId="2" type="noConversion"/>
  </si>
  <si>
    <t>금형 수리 내역(17일)</t>
    <phoneticPr fontId="2" type="noConversion"/>
  </si>
  <si>
    <t>설비 점검 내역(17일)</t>
    <phoneticPr fontId="2" type="noConversion"/>
  </si>
  <si>
    <r>
      <t>2021년 05월 18일 일일생산현황</t>
    </r>
    <r>
      <rPr>
        <b/>
        <sz val="14"/>
        <color indexed="8"/>
        <rFont val="굴림체"/>
        <family val="3"/>
        <charset val="129"/>
      </rPr>
      <t>(19일 09시 현재)</t>
    </r>
    <phoneticPr fontId="2" type="noConversion"/>
  </si>
  <si>
    <t>KR6156-D841PA</t>
    <phoneticPr fontId="2" type="noConversion"/>
  </si>
  <si>
    <t>전일 ISSUE 사항(18일)</t>
    <phoneticPr fontId="2" type="noConversion"/>
  </si>
  <si>
    <t>당일 진행 사항(19일)</t>
    <phoneticPr fontId="2" type="noConversion"/>
  </si>
  <si>
    <t>AMB1920A-KAA-R1</t>
    <phoneticPr fontId="2" type="noConversion"/>
  </si>
  <si>
    <t>LATCH</t>
    <phoneticPr fontId="2" type="noConversion"/>
  </si>
  <si>
    <t>HT00-M64A4-5</t>
    <phoneticPr fontId="2" type="noConversion"/>
  </si>
  <si>
    <t>SAMPLE 진행 사항(18일)</t>
    <phoneticPr fontId="2" type="noConversion"/>
  </si>
  <si>
    <t>K-JR01933-G02AWA</t>
    <phoneticPr fontId="2" type="noConversion"/>
  </si>
  <si>
    <t>요청</t>
    <phoneticPr fontId="2" type="noConversion"/>
  </si>
  <si>
    <t>KR6448AGA180PKA</t>
    <phoneticPr fontId="2" type="noConversion"/>
  </si>
  <si>
    <t>PX13012</t>
    <phoneticPr fontId="2" type="noConversion"/>
  </si>
  <si>
    <t>상측박힘,밀핀수리</t>
    <phoneticPr fontId="2" type="noConversion"/>
  </si>
  <si>
    <t>KR6448AB180UA</t>
    <phoneticPr fontId="2" type="noConversion"/>
  </si>
  <si>
    <t>AMB0114G-KAA-R1</t>
    <phoneticPr fontId="2" type="noConversion"/>
  </si>
  <si>
    <r>
      <t>2021년 05월 19일 일일생산현황</t>
    </r>
    <r>
      <rPr>
        <b/>
        <sz val="14"/>
        <color indexed="8"/>
        <rFont val="굴림체"/>
        <family val="3"/>
        <charset val="129"/>
      </rPr>
      <t>(20일 09시 현재)</t>
    </r>
    <phoneticPr fontId="2" type="noConversion"/>
  </si>
  <si>
    <t>BG255-001G1</t>
    <phoneticPr fontId="2" type="noConversion"/>
  </si>
  <si>
    <t>AMM0822A-KAB-R1</t>
    <phoneticPr fontId="2" type="noConversion"/>
  </si>
  <si>
    <t>전일 ISSUE 사항(19일)</t>
    <phoneticPr fontId="2" type="noConversion"/>
  </si>
  <si>
    <t>당일 진행 사항(20일)</t>
    <phoneticPr fontId="2" type="noConversion"/>
  </si>
  <si>
    <t>코아파손3회-&gt;1C막음</t>
    <phoneticPr fontId="2" type="noConversion"/>
  </si>
  <si>
    <t>AMB1930A-KAA-R3(2C)</t>
    <phoneticPr fontId="2" type="noConversion"/>
  </si>
  <si>
    <t>발주분양산-&gt;코아파손수리</t>
    <phoneticPr fontId="2" type="noConversion"/>
  </si>
  <si>
    <t>2829HQN05-3225-F3</t>
    <phoneticPr fontId="2" type="noConversion"/>
  </si>
  <si>
    <t>SAMPLE 진행 사항(19일)</t>
    <phoneticPr fontId="2" type="noConversion"/>
  </si>
  <si>
    <t>AMB20G8A-KAA-R1</t>
    <phoneticPr fontId="2" type="noConversion"/>
  </si>
  <si>
    <t>K-JR01933-E02AWA</t>
    <phoneticPr fontId="2" type="noConversion"/>
  </si>
  <si>
    <t>288C64A-U149A</t>
    <phoneticPr fontId="2" type="noConversion"/>
  </si>
  <si>
    <t>UNDER BASE</t>
    <phoneticPr fontId="2" type="noConversion"/>
  </si>
  <si>
    <t>금형 수리 내역(19일)</t>
    <phoneticPr fontId="2" type="noConversion"/>
  </si>
  <si>
    <t>설비 점검 내역(19일)</t>
    <phoneticPr fontId="2" type="noConversion"/>
  </si>
  <si>
    <r>
      <t>2021년 05월 20일 일일생산현황</t>
    </r>
    <r>
      <rPr>
        <b/>
        <sz val="14"/>
        <color indexed="8"/>
        <rFont val="굴림체"/>
        <family val="3"/>
        <charset val="129"/>
      </rPr>
      <t>(21일 09시 현재)</t>
    </r>
    <phoneticPr fontId="2" type="noConversion"/>
  </si>
  <si>
    <t>8301</t>
    <phoneticPr fontId="2" type="noConversion"/>
  </si>
  <si>
    <t>IC GUIDE</t>
    <phoneticPr fontId="2" type="noConversion"/>
  </si>
  <si>
    <t>HSB05-M008B4</t>
    <phoneticPr fontId="2" type="noConversion"/>
  </si>
  <si>
    <t>전일 ISSUE 사항(20일)</t>
    <phoneticPr fontId="2" type="noConversion"/>
  </si>
  <si>
    <t>수리안됨-&gt;코아파손정지</t>
    <phoneticPr fontId="2" type="noConversion"/>
  </si>
  <si>
    <t>수리후양산-&gt;긁힘수리-&gt;코아파손정지</t>
    <phoneticPr fontId="2" type="noConversion"/>
  </si>
  <si>
    <t>당일 진행 사항(21일)</t>
    <phoneticPr fontId="2" type="noConversion"/>
  </si>
  <si>
    <t>KR6197-D475PA</t>
    <phoneticPr fontId="2" type="noConversion"/>
  </si>
  <si>
    <t>288C64A-U149B</t>
    <phoneticPr fontId="2" type="noConversion"/>
  </si>
  <si>
    <t>SAMPLE 진행 사항(20일)</t>
    <phoneticPr fontId="2" type="noConversion"/>
  </si>
  <si>
    <t>B</t>
    <phoneticPr fontId="2" type="noConversion"/>
  </si>
  <si>
    <t>금형 수리 내역(20일)</t>
    <phoneticPr fontId="2" type="noConversion"/>
  </si>
  <si>
    <t>설비 점검 내역(20일)</t>
    <phoneticPr fontId="2" type="noConversion"/>
  </si>
  <si>
    <r>
      <t>2021년 05월 21일 일일생산현황</t>
    </r>
    <r>
      <rPr>
        <b/>
        <sz val="14"/>
        <color indexed="8"/>
        <rFont val="굴림체"/>
        <family val="3"/>
        <charset val="129"/>
      </rPr>
      <t>(22일 09시 현재)</t>
    </r>
    <phoneticPr fontId="2" type="noConversion"/>
  </si>
  <si>
    <t>F/A</t>
    <phoneticPr fontId="2" type="noConversion"/>
  </si>
  <si>
    <t>SPL/발주</t>
    <phoneticPr fontId="2" type="noConversion"/>
  </si>
  <si>
    <t>U/BASE</t>
    <phoneticPr fontId="2" type="noConversion"/>
  </si>
  <si>
    <t>AMB0201C-JAA-R3</t>
    <phoneticPr fontId="2" type="noConversion"/>
  </si>
  <si>
    <t>전일 ISSUE 사항(21일)</t>
    <phoneticPr fontId="2" type="noConversion"/>
  </si>
  <si>
    <t>수리후양산 1C</t>
    <phoneticPr fontId="2" type="noConversion"/>
  </si>
  <si>
    <t>1C뜯김 막음</t>
    <phoneticPr fontId="2" type="noConversion"/>
  </si>
  <si>
    <t>당일 진행 사항(22일)</t>
    <phoneticPr fontId="2" type="noConversion"/>
  </si>
  <si>
    <t>HSB05-M007B4</t>
    <phoneticPr fontId="2" type="noConversion"/>
  </si>
  <si>
    <t>SAMPLE 진행 사항(21일)</t>
    <phoneticPr fontId="2" type="noConversion"/>
  </si>
  <si>
    <t>뜯김-&gt;수정 (3회진행)</t>
    <phoneticPr fontId="2" type="noConversion"/>
  </si>
  <si>
    <t>K-JR01939-F195ATA</t>
    <phoneticPr fontId="2" type="noConversion"/>
  </si>
  <si>
    <t>K-JR01939-A195ATA</t>
    <phoneticPr fontId="2" type="noConversion"/>
  </si>
  <si>
    <t>성형안됨</t>
    <phoneticPr fontId="2" type="noConversion"/>
  </si>
  <si>
    <t>금형 수리 내역(21일)</t>
    <phoneticPr fontId="2" type="noConversion"/>
  </si>
  <si>
    <t>설비 점검 내역(21일)</t>
    <phoneticPr fontId="2" type="noConversion"/>
  </si>
  <si>
    <r>
      <t>2021년 05월 22일 일일생산현황</t>
    </r>
    <r>
      <rPr>
        <b/>
        <sz val="14"/>
        <color indexed="8"/>
        <rFont val="굴림체"/>
        <family val="3"/>
        <charset val="129"/>
      </rPr>
      <t>(23일 09시 현재)</t>
    </r>
    <phoneticPr fontId="2" type="noConversion"/>
  </si>
  <si>
    <t>전일 ISSUE 사항(22일)</t>
    <phoneticPr fontId="2" type="noConversion"/>
  </si>
  <si>
    <t>런너막힘정지</t>
    <phoneticPr fontId="2" type="noConversion"/>
  </si>
  <si>
    <t>수리후양산-&gt;뜯김정지</t>
    <phoneticPr fontId="2" type="noConversion"/>
  </si>
  <si>
    <t>당일 진행 사항(23일)</t>
    <phoneticPr fontId="2" type="noConversion"/>
  </si>
  <si>
    <t>AMB0450A-KAA-R2</t>
    <phoneticPr fontId="2" type="noConversion"/>
  </si>
  <si>
    <t>SAMPLE 진행 사항(22일)</t>
    <phoneticPr fontId="2" type="noConversion"/>
  </si>
  <si>
    <t>KR6197-GP297XX</t>
    <phoneticPr fontId="2" type="noConversion"/>
  </si>
  <si>
    <t>SF2250EPR I/V</t>
    <phoneticPr fontId="2" type="noConversion"/>
  </si>
  <si>
    <t>금형 수리 내역(22일)</t>
    <phoneticPr fontId="2" type="noConversion"/>
  </si>
  <si>
    <t>설비 점검 내역(22일)</t>
    <phoneticPr fontId="2" type="noConversion"/>
  </si>
  <si>
    <r>
      <t>2021년 05월 23일(주간) 일일생산현황</t>
    </r>
    <r>
      <rPr>
        <b/>
        <sz val="14"/>
        <color indexed="8"/>
        <rFont val="굴림체"/>
        <family val="3"/>
        <charset val="129"/>
      </rPr>
      <t>(24일 09시 현재)</t>
    </r>
    <phoneticPr fontId="2" type="noConversion"/>
  </si>
  <si>
    <t>전일 ISSUE 사항(23일)</t>
    <phoneticPr fontId="2" type="noConversion"/>
  </si>
  <si>
    <t>런너수리2회</t>
    <phoneticPr fontId="2" type="noConversion"/>
  </si>
  <si>
    <t>발주분양산-&gt;코아파손정지</t>
    <phoneticPr fontId="2" type="noConversion"/>
  </si>
  <si>
    <t>당일 진행 사항(24일)</t>
    <phoneticPr fontId="2" type="noConversion"/>
  </si>
  <si>
    <t>HDBF05-M01B1</t>
    <phoneticPr fontId="2" type="noConversion"/>
  </si>
  <si>
    <t>세척후양산</t>
    <phoneticPr fontId="2" type="noConversion"/>
  </si>
  <si>
    <t>HICON</t>
    <phoneticPr fontId="2" type="noConversion"/>
  </si>
  <si>
    <t>3</t>
    <phoneticPr fontId="2" type="noConversion"/>
  </si>
  <si>
    <t>BASE</t>
    <phoneticPr fontId="2" type="noConversion"/>
  </si>
  <si>
    <t>72P</t>
    <phoneticPr fontId="2" type="noConversion"/>
  </si>
  <si>
    <t>발주분양산</t>
    <phoneticPr fontId="2" type="noConversion"/>
  </si>
  <si>
    <t>DI</t>
    <phoneticPr fontId="2" type="noConversion"/>
  </si>
  <si>
    <t>16</t>
    <phoneticPr fontId="2" type="noConversion"/>
  </si>
  <si>
    <t>SAMPLE 진행 사항(23일)</t>
    <phoneticPr fontId="2" type="noConversion"/>
  </si>
  <si>
    <t>금형 수리 내역(23일)</t>
    <phoneticPr fontId="2" type="noConversion"/>
  </si>
  <si>
    <t>설비 점검 내역(23일)</t>
    <phoneticPr fontId="2" type="noConversion"/>
  </si>
  <si>
    <r>
      <t>2021년 05월 24일 일일생산현황</t>
    </r>
    <r>
      <rPr>
        <b/>
        <sz val="14"/>
        <color indexed="8"/>
        <rFont val="굴림체"/>
        <family val="3"/>
        <charset val="129"/>
      </rPr>
      <t>(25일 09시 현재)</t>
    </r>
    <phoneticPr fontId="2" type="noConversion"/>
  </si>
  <si>
    <t>전일 ISSUE 사항(24일)</t>
    <phoneticPr fontId="2" type="noConversion"/>
  </si>
  <si>
    <t>당일 진행 사항(25일)</t>
    <phoneticPr fontId="2" type="noConversion"/>
  </si>
  <si>
    <t>K-JR01928-C01AWB</t>
    <phoneticPr fontId="2" type="noConversion"/>
  </si>
  <si>
    <t>RIVET</t>
    <phoneticPr fontId="2" type="noConversion"/>
  </si>
  <si>
    <t>AMB0114G-JAA-R1</t>
    <phoneticPr fontId="2" type="noConversion"/>
  </si>
  <si>
    <t>SAMPLE 진행 사항(24일)</t>
    <phoneticPr fontId="2" type="noConversion"/>
  </si>
  <si>
    <t>K-JR01939-D195AUA</t>
    <phoneticPr fontId="2" type="noConversion"/>
  </si>
  <si>
    <t>금형 수리 내역(24일)</t>
    <phoneticPr fontId="2" type="noConversion"/>
  </si>
  <si>
    <t>설비 점검 내역(24일)</t>
    <phoneticPr fontId="2" type="noConversion"/>
  </si>
  <si>
    <r>
      <t>2021년 05월 25일 일일생산현황</t>
    </r>
    <r>
      <rPr>
        <b/>
        <sz val="14"/>
        <color indexed="8"/>
        <rFont val="굴림체"/>
        <family val="3"/>
        <charset val="129"/>
      </rPr>
      <t>(26일 09시 현재)</t>
    </r>
    <phoneticPr fontId="2" type="noConversion"/>
  </si>
  <si>
    <t>RTP Y/L</t>
    <phoneticPr fontId="2" type="noConversion"/>
  </si>
  <si>
    <t>K-JR01933-C01AWA</t>
    <phoneticPr fontId="2" type="noConversion"/>
  </si>
  <si>
    <t>전일 ISSUE 사항(25일)</t>
    <phoneticPr fontId="2" type="noConversion"/>
  </si>
  <si>
    <t>당일 진행 사항(26일)</t>
    <phoneticPr fontId="2" type="noConversion"/>
  </si>
  <si>
    <t>K-JR01928-B01AZE</t>
    <phoneticPr fontId="2" type="noConversion"/>
  </si>
  <si>
    <t>K-JR01933-G01AWA</t>
    <phoneticPr fontId="2" type="noConversion"/>
  </si>
  <si>
    <t>SAMPLE 진행 사항(25일)</t>
    <phoneticPr fontId="2" type="noConversion"/>
  </si>
  <si>
    <t>K-JR01939-G01ABA</t>
    <phoneticPr fontId="2" type="noConversion"/>
  </si>
  <si>
    <t>BURR</t>
    <phoneticPr fontId="2" type="noConversion"/>
  </si>
  <si>
    <t>K-JR01939-C01ATA</t>
    <phoneticPr fontId="2" type="noConversion"/>
  </si>
  <si>
    <t>상측박힘</t>
    <phoneticPr fontId="2" type="noConversion"/>
  </si>
  <si>
    <t>금형 수리 내역(25일)</t>
    <phoneticPr fontId="2" type="noConversion"/>
  </si>
  <si>
    <t>설비 점검 내역(25일)</t>
    <phoneticPr fontId="2" type="noConversion"/>
  </si>
  <si>
    <r>
      <t>2021년 05월 26일 일일생산현황</t>
    </r>
    <r>
      <rPr>
        <b/>
        <sz val="14"/>
        <color indexed="8"/>
        <rFont val="굴림체"/>
        <family val="3"/>
        <charset val="129"/>
      </rPr>
      <t>(27일 09시 현재)</t>
    </r>
    <phoneticPr fontId="2" type="noConversion"/>
  </si>
  <si>
    <t>SGP2020R</t>
    <phoneticPr fontId="2" type="noConversion"/>
  </si>
  <si>
    <t>전일 ISSUE 사항(26일)</t>
    <phoneticPr fontId="2" type="noConversion"/>
  </si>
  <si>
    <t>발주분양산-&gt;오조립</t>
    <phoneticPr fontId="2" type="noConversion"/>
  </si>
  <si>
    <t>10</t>
    <phoneticPr fontId="2" type="noConversion"/>
  </si>
  <si>
    <t>당일 진행 사항(27일)</t>
    <phoneticPr fontId="2" type="noConversion"/>
  </si>
  <si>
    <t>K-JR01933-E01AWA</t>
    <phoneticPr fontId="2" type="noConversion"/>
  </si>
  <si>
    <t>K-JR01933-F01AWA</t>
    <phoneticPr fontId="2" type="noConversion"/>
  </si>
  <si>
    <t>K-JR01933-B01AZC</t>
    <phoneticPr fontId="2" type="noConversion"/>
  </si>
  <si>
    <t>AMC1201A-KAA-R1</t>
    <phoneticPr fontId="2" type="noConversion"/>
  </si>
  <si>
    <t>SAMPLE 진행 사항(26일)</t>
    <phoneticPr fontId="2" type="noConversion"/>
  </si>
  <si>
    <t>K-JR01939-E01EA</t>
    <phoneticPr fontId="2" type="noConversion"/>
  </si>
  <si>
    <t>AMB20G7A-KAA-R1</t>
    <phoneticPr fontId="2" type="noConversion"/>
  </si>
  <si>
    <t>AMB20G7B-KAA-R1</t>
    <phoneticPr fontId="2" type="noConversion"/>
  </si>
  <si>
    <t>JD4901 N/P</t>
    <phoneticPr fontId="2" type="noConversion"/>
  </si>
  <si>
    <t>밀핀 2회진행</t>
    <phoneticPr fontId="2" type="noConversion"/>
  </si>
  <si>
    <t>AMB09J8A-KAA-R1</t>
    <phoneticPr fontId="2" type="noConversion"/>
  </si>
  <si>
    <t>LATCH PLATE</t>
    <phoneticPr fontId="2" type="noConversion"/>
  </si>
  <si>
    <t>K-JR01939-B195AUA</t>
    <phoneticPr fontId="2" type="noConversion"/>
  </si>
  <si>
    <t>각인없음</t>
    <phoneticPr fontId="2" type="noConversion"/>
  </si>
  <si>
    <t>뜯김2회</t>
    <phoneticPr fontId="2" type="noConversion"/>
  </si>
  <si>
    <t>금형 수리 내역(26일)</t>
    <phoneticPr fontId="2" type="noConversion"/>
  </si>
  <si>
    <t>설비 점검 내역(26일)</t>
    <phoneticPr fontId="2" type="noConversion"/>
  </si>
  <si>
    <r>
      <t>2021년 05월 27일 일일생산현황</t>
    </r>
    <r>
      <rPr>
        <b/>
        <sz val="14"/>
        <color indexed="8"/>
        <rFont val="굴림체"/>
        <family val="3"/>
        <charset val="129"/>
      </rPr>
      <t>(28일 09시 현재)</t>
    </r>
    <phoneticPr fontId="2" type="noConversion"/>
  </si>
  <si>
    <t>전일 ISSUE 사항(27일)</t>
    <phoneticPr fontId="2" type="noConversion"/>
  </si>
  <si>
    <t>코아파손수리-&gt;오조립-&gt;1C파손막음</t>
    <phoneticPr fontId="2" type="noConversion"/>
  </si>
  <si>
    <t>발주분양산-&gt;에젝타이상수리</t>
    <phoneticPr fontId="2" type="noConversion"/>
  </si>
  <si>
    <t>당일 진행 사항(28일)</t>
    <phoneticPr fontId="2" type="noConversion"/>
  </si>
  <si>
    <t>AMB20G2B-KAA-R2</t>
    <phoneticPr fontId="2" type="noConversion"/>
  </si>
  <si>
    <t>AMB09J4B-KAA-R3</t>
    <phoneticPr fontId="2" type="noConversion"/>
  </si>
  <si>
    <t>AMB0482A-KAA-R1</t>
    <phoneticPr fontId="2" type="noConversion"/>
  </si>
  <si>
    <t>SAMPLE 진행 사항(27일)</t>
    <phoneticPr fontId="2" type="noConversion"/>
  </si>
  <si>
    <t>금형 수리 내역(27일)</t>
    <phoneticPr fontId="2" type="noConversion"/>
  </si>
  <si>
    <t>설비 점검 내역(27일)</t>
    <phoneticPr fontId="2" type="noConversion"/>
  </si>
  <si>
    <r>
      <t>2021년 05월 28일 일일생산현황</t>
    </r>
    <r>
      <rPr>
        <b/>
        <sz val="14"/>
        <color indexed="8"/>
        <rFont val="굴림체"/>
        <family val="3"/>
        <charset val="129"/>
      </rPr>
      <t>(29일 09시 현재)</t>
    </r>
    <phoneticPr fontId="2" type="noConversion"/>
  </si>
  <si>
    <t>AMB20G2B-KAA-R1</t>
    <phoneticPr fontId="2" type="noConversion"/>
  </si>
  <si>
    <t>AMB0186A-KAA-R1</t>
    <phoneticPr fontId="2" type="noConversion"/>
  </si>
  <si>
    <t>AMB09J3B-KAA-R1</t>
    <phoneticPr fontId="2" type="noConversion"/>
  </si>
  <si>
    <t>전일 ISSUE 사항(28일)</t>
    <phoneticPr fontId="2" type="noConversion"/>
  </si>
  <si>
    <t>코아파손수리-&gt;1C파손막음</t>
    <phoneticPr fontId="2" type="noConversion"/>
  </si>
  <si>
    <t>발주분양산-&gt;런너막힘3회정지</t>
    <phoneticPr fontId="2" type="noConversion"/>
  </si>
  <si>
    <t>발주분양산-&gt;오조립수리</t>
    <phoneticPr fontId="2" type="noConversion"/>
  </si>
  <si>
    <t>당일 진행 사항(29일)</t>
    <phoneticPr fontId="2" type="noConversion"/>
  </si>
  <si>
    <t>AMB1918A-KAA-R1</t>
    <phoneticPr fontId="2" type="noConversion"/>
  </si>
  <si>
    <t>SAMPLE 진행 사항(28일)</t>
    <phoneticPr fontId="2" type="noConversion"/>
  </si>
  <si>
    <t>증작</t>
    <phoneticPr fontId="2" type="noConversion"/>
  </si>
  <si>
    <t>오조립수리</t>
    <phoneticPr fontId="2" type="noConversion"/>
  </si>
  <si>
    <t>금형 수리 내역(28일)</t>
    <phoneticPr fontId="2" type="noConversion"/>
  </si>
  <si>
    <t>설비 점검 내역(28일)</t>
    <phoneticPr fontId="2" type="noConversion"/>
  </si>
  <si>
    <r>
      <t>2021년 05월 29일 일일생산현황</t>
    </r>
    <r>
      <rPr>
        <b/>
        <sz val="14"/>
        <color indexed="8"/>
        <rFont val="굴림체"/>
        <family val="3"/>
        <charset val="129"/>
      </rPr>
      <t>(30일 09시 현재)</t>
    </r>
    <phoneticPr fontId="2" type="noConversion"/>
  </si>
  <si>
    <t>전일 ISSUE 사항(29일)</t>
    <phoneticPr fontId="2" type="noConversion"/>
  </si>
  <si>
    <t>코아파손3회수리-&gt;1C파손막음</t>
    <phoneticPr fontId="2" type="noConversion"/>
  </si>
  <si>
    <t>수리후양산-&gt;런너막힘3회정지</t>
    <phoneticPr fontId="2" type="noConversion"/>
  </si>
  <si>
    <t>AMB0172A-KAA-3</t>
    <phoneticPr fontId="2" type="noConversion"/>
  </si>
  <si>
    <t>당일 진행 사항(30일)</t>
    <phoneticPr fontId="2" type="noConversion"/>
  </si>
  <si>
    <t>SAMPLE 진행 사항(29일)</t>
    <phoneticPr fontId="2" type="noConversion"/>
  </si>
  <si>
    <t>금형 수리 내역(29일)</t>
    <phoneticPr fontId="2" type="noConversion"/>
  </si>
  <si>
    <t>설비 점검 내역(29일)</t>
    <phoneticPr fontId="2" type="noConversion"/>
  </si>
  <si>
    <r>
      <t>2021년 05월 30일(주간) 일일생산현황</t>
    </r>
    <r>
      <rPr>
        <b/>
        <sz val="14"/>
        <color indexed="8"/>
        <rFont val="굴림체"/>
        <family val="3"/>
        <charset val="129"/>
      </rPr>
      <t>(31일 09시 현재)</t>
    </r>
    <phoneticPr fontId="2" type="noConversion"/>
  </si>
  <si>
    <t>전일 ISSUE 사항(30일)</t>
    <phoneticPr fontId="2" type="noConversion"/>
  </si>
  <si>
    <t>코아파손2회수리</t>
    <phoneticPr fontId="2" type="noConversion"/>
  </si>
  <si>
    <t>당일 진행 사항(31일)</t>
    <phoneticPr fontId="2" type="noConversion"/>
  </si>
  <si>
    <t>AMB0154A-KAA-R1</t>
    <phoneticPr fontId="2" type="noConversion"/>
  </si>
  <si>
    <t>HL480-1.0-10.0T1/B1</t>
    <phoneticPr fontId="2" type="noConversion"/>
  </si>
  <si>
    <t>11</t>
    <phoneticPr fontId="2" type="noConversion"/>
  </si>
  <si>
    <t>TOP/BOTTOM</t>
    <phoneticPr fontId="2" type="noConversion"/>
  </si>
  <si>
    <t>SAMPLE 진행 사항(30일)</t>
    <phoneticPr fontId="2" type="noConversion"/>
  </si>
  <si>
    <t>KR6197AGF254PNC</t>
    <phoneticPr fontId="2" type="noConversion"/>
  </si>
  <si>
    <t>ADAPTER</t>
    <phoneticPr fontId="2" type="noConversion"/>
  </si>
  <si>
    <t>SF2250EPR N/P</t>
    <phoneticPr fontId="2" type="noConversion"/>
  </si>
  <si>
    <t>금형 수리 내역(30일)</t>
    <phoneticPr fontId="2" type="noConversion"/>
  </si>
  <si>
    <t>설비 점검 내역(30일)</t>
    <phoneticPr fontId="2" type="noConversion"/>
  </si>
  <si>
    <r>
      <t>2021년 05월 31일 일일생산현황</t>
    </r>
    <r>
      <rPr>
        <b/>
        <sz val="14"/>
        <color indexed="8"/>
        <rFont val="굴림체"/>
        <family val="3"/>
        <charset val="129"/>
      </rPr>
      <t>(01일 09시 현재)</t>
    </r>
    <phoneticPr fontId="2" type="noConversion"/>
  </si>
  <si>
    <t>HL480-T1 / B1</t>
    <phoneticPr fontId="2" type="noConversion"/>
  </si>
  <si>
    <t>AMC0821A-KAA-R1</t>
    <phoneticPr fontId="2" type="noConversion"/>
  </si>
  <si>
    <t>전일 ISSUE 사항(31일)</t>
    <phoneticPr fontId="2" type="noConversion"/>
  </si>
  <si>
    <t>코아파손6회-&gt;1C막음</t>
    <phoneticPr fontId="2" type="noConversion"/>
  </si>
  <si>
    <t>TOP/BPTTPM</t>
    <phoneticPr fontId="2" type="noConversion"/>
  </si>
  <si>
    <t>HL480-T1/B1</t>
    <phoneticPr fontId="2" type="noConversion"/>
  </si>
  <si>
    <t>당일 진행 사항(01일)</t>
    <phoneticPr fontId="2" type="noConversion"/>
  </si>
  <si>
    <t>AMB1904F-KAA-R1</t>
    <phoneticPr fontId="2" type="noConversion"/>
  </si>
  <si>
    <t>AMS08155A-KBB-R2</t>
    <phoneticPr fontId="2" type="noConversion"/>
  </si>
  <si>
    <t>M2</t>
    <phoneticPr fontId="2" type="noConversion"/>
  </si>
  <si>
    <t>SAMPLE 진행 사항(31일)</t>
    <phoneticPr fontId="2" type="noConversion"/>
  </si>
  <si>
    <t>KR6170BD740XX</t>
    <phoneticPr fontId="2" type="noConversion"/>
  </si>
  <si>
    <t>SSG178A / 178C</t>
    <phoneticPr fontId="2" type="noConversion"/>
  </si>
  <si>
    <t>각50EA</t>
    <phoneticPr fontId="2" type="noConversion"/>
  </si>
  <si>
    <t>KR6165-GG154HA</t>
    <phoneticPr fontId="2" type="noConversion"/>
  </si>
  <si>
    <t>NEXT</t>
    <phoneticPr fontId="2" type="noConversion"/>
  </si>
  <si>
    <t>HSA08-M01A1(CA)</t>
    <phoneticPr fontId="2" type="noConversion"/>
  </si>
  <si>
    <t>1CAV</t>
    <phoneticPr fontId="2" type="noConversion"/>
  </si>
  <si>
    <t>New Pattern Cover</t>
    <phoneticPr fontId="2" type="noConversion"/>
  </si>
  <si>
    <t>금형 수리 내역(31일)</t>
    <phoneticPr fontId="2" type="noConversion"/>
  </si>
  <si>
    <t>설비 점검 내역(31일)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</si>
</sst>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88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/>
    </xf>
    <xf numFmtId="41" fontId="8" fillId="0" borderId="6" xfId="4" applyFont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Border="1" applyAlignment="1">
      <alignment horizontal="center" vertical="center"/>
    </xf>
    <xf numFmtId="9" fontId="9" fillId="0" borderId="7" xfId="3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 wrapText="1"/>
    </xf>
    <xf numFmtId="178" fontId="8" fillId="0" borderId="10" xfId="4" applyNumberFormat="1" applyFont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4" fillId="0" borderId="7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49" fontId="8" fillId="0" borderId="3" xfId="2" applyNumberFormat="1" applyFont="1" applyBorder="1" applyAlignment="1">
      <alignment horizontal="center" vertical="center" wrapText="1"/>
    </xf>
    <xf numFmtId="41" fontId="8" fillId="0" borderId="8" xfId="4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>
      <alignment vertical="center"/>
    </xf>
    <xf numFmtId="0" fontId="13" fillId="0" borderId="0" xfId="2" applyFont="1">
      <alignment vertical="center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 shrinkToFit="1"/>
    </xf>
    <xf numFmtId="41" fontId="13" fillId="0" borderId="0" xfId="4" applyFont="1">
      <alignment vertical="center"/>
    </xf>
    <xf numFmtId="49" fontId="13" fillId="0" borderId="0" xfId="2" applyNumberFormat="1" applyFont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9" fontId="7" fillId="29" borderId="20" xfId="8" applyFont="1" applyFill="1" applyBorder="1" applyAlignment="1">
      <alignment horizontal="center" vertical="center"/>
    </xf>
    <xf numFmtId="9" fontId="7" fillId="29" borderId="54" xfId="8" applyFont="1" applyFill="1" applyBorder="1" applyAlignment="1">
      <alignment horizontal="center" vertical="center"/>
    </xf>
    <xf numFmtId="9" fontId="7" fillId="29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0" fontId="8" fillId="28" borderId="8" xfId="2" applyFont="1" applyFill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49" xfId="8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0" fontId="7" fillId="29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0" fontId="8" fillId="30" borderId="8" xfId="2" applyFont="1" applyFill="1" applyBorder="1" applyAlignment="1">
      <alignment horizontal="center" vertical="center"/>
    </xf>
    <xf numFmtId="0" fontId="7" fillId="30" borderId="51" xfId="0" applyFont="1" applyFill="1" applyBorder="1" applyAlignment="1">
      <alignment horizontal="center" vertical="center"/>
    </xf>
    <xf numFmtId="9" fontId="7" fillId="30" borderId="11" xfId="8" applyFont="1" applyFill="1" applyBorder="1" applyAlignment="1">
      <alignment horizontal="center" vertical="center"/>
    </xf>
    <xf numFmtId="9" fontId="7" fillId="30" borderId="9" xfId="8" applyFont="1" applyFill="1" applyBorder="1" applyAlignment="1">
      <alignment horizontal="center" vertical="center"/>
    </xf>
    <xf numFmtId="9" fontId="7" fillId="30" borderId="12" xfId="8" applyFont="1" applyFill="1" applyBorder="1" applyAlignment="1">
      <alignment horizontal="center" vertical="center"/>
    </xf>
    <xf numFmtId="9" fontId="7" fillId="30" borderId="51" xfId="8" applyFont="1" applyFill="1" applyBorder="1" applyAlignment="1">
      <alignment horizontal="center" vertical="center"/>
    </xf>
    <xf numFmtId="49" fontId="13" fillId="0" borderId="17" xfId="2" applyNumberFormat="1" applyFont="1" applyBorder="1" applyAlignment="1">
      <alignment horizontal="center" vertical="center" shrinkToFit="1"/>
    </xf>
    <xf numFmtId="0" fontId="8" fillId="29" borderId="8" xfId="2" applyFont="1" applyFill="1" applyBorder="1" applyAlignment="1">
      <alignment horizontal="center" vertical="center"/>
    </xf>
    <xf numFmtId="0" fontId="7" fillId="29" borderId="53" xfId="0" applyFont="1" applyFill="1" applyBorder="1" applyAlignment="1">
      <alignment horizontal="center" vertical="center"/>
    </xf>
    <xf numFmtId="9" fontId="7" fillId="29" borderId="38" xfId="8" applyFont="1" applyFill="1" applyBorder="1" applyAlignment="1">
      <alignment horizontal="center" vertical="center"/>
    </xf>
    <xf numFmtId="9" fontId="7" fillId="29" borderId="24" xfId="8" applyFont="1" applyFill="1" applyBorder="1" applyAlignment="1">
      <alignment horizontal="center" vertical="center"/>
    </xf>
    <xf numFmtId="9" fontId="7" fillId="29" borderId="33" xfId="8" applyFont="1" applyFill="1" applyBorder="1" applyAlignment="1">
      <alignment horizontal="center" vertical="center"/>
    </xf>
    <xf numFmtId="9" fontId="7" fillId="29" borderId="31" xfId="8" applyFont="1" applyFill="1" applyBorder="1" applyAlignment="1">
      <alignment horizontal="center" vertical="center"/>
    </xf>
    <xf numFmtId="9" fontId="7" fillId="29" borderId="53" xfId="8" applyFont="1" applyFill="1" applyBorder="1" applyAlignment="1">
      <alignment horizontal="center" vertical="center"/>
    </xf>
    <xf numFmtId="9" fontId="7" fillId="29" borderId="3" xfId="8" applyFont="1" applyFill="1" applyBorder="1" applyAlignment="1">
      <alignment horizontal="center" vertical="center"/>
    </xf>
    <xf numFmtId="41" fontId="8" fillId="0" borderId="7" xfId="4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9" xfId="2" applyNumberFormat="1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42" fontId="15" fillId="0" borderId="22" xfId="7" applyFont="1" applyBorder="1" applyAlignment="1">
      <alignment horizontal="center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3" fillId="0" borderId="9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49" fontId="13" fillId="0" borderId="9" xfId="2" applyNumberFormat="1" applyFont="1" applyBorder="1" applyAlignment="1">
      <alignment horizontal="center" vertical="center"/>
    </xf>
    <xf numFmtId="41" fontId="13" fillId="0" borderId="9" xfId="4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left" vertical="center" shrinkToFit="1"/>
    </xf>
    <xf numFmtId="0" fontId="13" fillId="0" borderId="12" xfId="2" applyFont="1" applyBorder="1" applyAlignment="1">
      <alignment horizontal="center" vertical="center" wrapText="1"/>
    </xf>
    <xf numFmtId="0" fontId="13" fillId="0" borderId="26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13" fillId="0" borderId="15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49" fontId="13" fillId="0" borderId="6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12" xfId="2" applyNumberFormat="1" applyFont="1" applyBorder="1" applyAlignment="1">
      <alignment horizontal="left" vertical="center" shrinkToFit="1"/>
    </xf>
    <xf numFmtId="49" fontId="13" fillId="0" borderId="26" xfId="2" applyNumberFormat="1" applyFont="1" applyBorder="1" applyAlignment="1">
      <alignment horizontal="left" vertical="center" shrinkToFit="1"/>
    </xf>
    <xf numFmtId="49" fontId="13" fillId="0" borderId="60" xfId="2" applyNumberFormat="1" applyFont="1" applyBorder="1" applyAlignment="1">
      <alignment horizontal="left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0" xfId="2" applyNumberFormat="1" applyFont="1" applyBorder="1" applyAlignment="1">
      <alignment horizontal="left" vertical="center" shrinkToFit="1"/>
    </xf>
    <xf numFmtId="49" fontId="13" fillId="0" borderId="21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54" xfId="2" applyNumberFormat="1" applyFont="1" applyBorder="1" applyAlignment="1">
      <alignment horizontal="left" vertical="center" shrinkToFit="1"/>
    </xf>
    <xf numFmtId="49" fontId="13" fillId="0" borderId="61" xfId="2" applyNumberFormat="1" applyFont="1" applyBorder="1" applyAlignment="1">
      <alignment horizontal="left" vertical="center" shrinkToFit="1"/>
    </xf>
    <xf numFmtId="49" fontId="13" fillId="0" borderId="62" xfId="2" applyNumberFormat="1" applyFont="1" applyBorder="1" applyAlignment="1">
      <alignment horizontal="left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49" fontId="13" fillId="0" borderId="26" xfId="2" applyNumberFormat="1" applyFont="1" applyBorder="1" applyAlignment="1">
      <alignment horizontal="center" vertical="center" shrinkToFit="1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29" xfId="2" applyFont="1" applyFill="1" applyBorder="1" applyAlignment="1">
      <alignment horizontal="center" vertical="center"/>
    </xf>
    <xf numFmtId="0" fontId="19" fillId="2" borderId="16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</cellXfs>
  <cellStyles count="3845">
    <cellStyle name="_x0002_._x0011__x0002_._x001b__x0002_ _x0015_%_x0018__x0001_" xfId="3128" xr:uid="{00000000-0005-0000-0000-000000000000}"/>
    <cellStyle name="?" xfId="3129" xr:uid="{00000000-0005-0000-0000-000001000000}"/>
    <cellStyle name="20% - 강조색1 2" xfId="10" xr:uid="{00000000-0005-0000-0000-000002000000}"/>
    <cellStyle name="20% - 강조색1 2 10" xfId="11" xr:uid="{00000000-0005-0000-0000-000003000000}"/>
    <cellStyle name="20% - 강조색1 2 10 2" xfId="12" xr:uid="{00000000-0005-0000-0000-000004000000}"/>
    <cellStyle name="20% - 강조색1 2 10 3" xfId="13" xr:uid="{00000000-0005-0000-0000-000005000000}"/>
    <cellStyle name="20% - 강조색1 2 10 4" xfId="14" xr:uid="{00000000-0005-0000-0000-000006000000}"/>
    <cellStyle name="20% - 강조색1 2 10 5" xfId="15" xr:uid="{00000000-0005-0000-0000-000007000000}"/>
    <cellStyle name="20% - 강조색1 2 10 6" xfId="16" xr:uid="{00000000-0005-0000-0000-000008000000}"/>
    <cellStyle name="20% - 강조색1 2 11" xfId="17" xr:uid="{00000000-0005-0000-0000-000009000000}"/>
    <cellStyle name="20% - 강조색1 2 11 2" xfId="18" xr:uid="{00000000-0005-0000-0000-00000A000000}"/>
    <cellStyle name="20% - 강조색1 2 11 3" xfId="19" xr:uid="{00000000-0005-0000-0000-00000B000000}"/>
    <cellStyle name="20% - 강조색1 2 11 4" xfId="20" xr:uid="{00000000-0005-0000-0000-00000C000000}"/>
    <cellStyle name="20% - 강조색1 2 11 5" xfId="21" xr:uid="{00000000-0005-0000-0000-00000D000000}"/>
    <cellStyle name="20% - 강조색1 2 11 6" xfId="22" xr:uid="{00000000-0005-0000-0000-00000E000000}"/>
    <cellStyle name="20% - 강조색1 2 12" xfId="23" xr:uid="{00000000-0005-0000-0000-00000F000000}"/>
    <cellStyle name="20% - 강조색1 2 12 2" xfId="24" xr:uid="{00000000-0005-0000-0000-000010000000}"/>
    <cellStyle name="20% - 강조색1 2 12 3" xfId="25" xr:uid="{00000000-0005-0000-0000-000011000000}"/>
    <cellStyle name="20% - 강조색1 2 12 4" xfId="26" xr:uid="{00000000-0005-0000-0000-000012000000}"/>
    <cellStyle name="20% - 강조색1 2 12 5" xfId="27" xr:uid="{00000000-0005-0000-0000-000013000000}"/>
    <cellStyle name="20% - 강조색1 2 12 6" xfId="28" xr:uid="{00000000-0005-0000-0000-000014000000}"/>
    <cellStyle name="20% - 강조색1 2 13" xfId="29" xr:uid="{00000000-0005-0000-0000-000015000000}"/>
    <cellStyle name="20% - 강조색1 2 13 2" xfId="30" xr:uid="{00000000-0005-0000-0000-000016000000}"/>
    <cellStyle name="20% - 강조색1 2 13 3" xfId="31" xr:uid="{00000000-0005-0000-0000-000017000000}"/>
    <cellStyle name="20% - 강조색1 2 13 4" xfId="32" xr:uid="{00000000-0005-0000-0000-000018000000}"/>
    <cellStyle name="20% - 강조색1 2 13 5" xfId="33" xr:uid="{00000000-0005-0000-0000-000019000000}"/>
    <cellStyle name="20% - 강조색1 2 13 6" xfId="34" xr:uid="{00000000-0005-0000-0000-00001A000000}"/>
    <cellStyle name="20% - 강조색1 2 14" xfId="35" xr:uid="{00000000-0005-0000-0000-00001B000000}"/>
    <cellStyle name="20% - 강조색1 2 14 2" xfId="36" xr:uid="{00000000-0005-0000-0000-00001C000000}"/>
    <cellStyle name="20% - 강조색1 2 14 3" xfId="37" xr:uid="{00000000-0005-0000-0000-00001D000000}"/>
    <cellStyle name="20% - 강조색1 2 14 4" xfId="38" xr:uid="{00000000-0005-0000-0000-00001E000000}"/>
    <cellStyle name="20% - 강조색1 2 14 5" xfId="39" xr:uid="{00000000-0005-0000-0000-00001F000000}"/>
    <cellStyle name="20% - 강조색1 2 14 6" xfId="40" xr:uid="{00000000-0005-0000-0000-000020000000}"/>
    <cellStyle name="20% - 강조색1 2 15" xfId="41" xr:uid="{00000000-0005-0000-0000-000021000000}"/>
    <cellStyle name="20% - 강조색1 2 16" xfId="42" xr:uid="{00000000-0005-0000-0000-000022000000}"/>
    <cellStyle name="20% - 강조색1 2 17" xfId="43" xr:uid="{00000000-0005-0000-0000-000023000000}"/>
    <cellStyle name="20% - 강조색1 2 18" xfId="44" xr:uid="{00000000-0005-0000-0000-000024000000}"/>
    <cellStyle name="20% - 강조색1 2 19" xfId="45" xr:uid="{00000000-0005-0000-0000-000025000000}"/>
    <cellStyle name="20% - 강조색1 2 2" xfId="46" xr:uid="{00000000-0005-0000-0000-000026000000}"/>
    <cellStyle name="20% - 강조색1 2 2 2" xfId="47" xr:uid="{00000000-0005-0000-0000-000027000000}"/>
    <cellStyle name="20% - 강조색1 2 2 3" xfId="48" xr:uid="{00000000-0005-0000-0000-000028000000}"/>
    <cellStyle name="20% - 강조색1 2 2 4" xfId="49" xr:uid="{00000000-0005-0000-0000-000029000000}"/>
    <cellStyle name="20% - 강조색1 2 2 5" xfId="50" xr:uid="{00000000-0005-0000-0000-00002A000000}"/>
    <cellStyle name="20% - 강조색1 2 2 6" xfId="51" xr:uid="{00000000-0005-0000-0000-00002B000000}"/>
    <cellStyle name="20% - 강조색1 2 3" xfId="52" xr:uid="{00000000-0005-0000-0000-00002C000000}"/>
    <cellStyle name="20% - 강조색1 2 3 2" xfId="53" xr:uid="{00000000-0005-0000-0000-00002D000000}"/>
    <cellStyle name="20% - 강조색1 2 3 3" xfId="54" xr:uid="{00000000-0005-0000-0000-00002E000000}"/>
    <cellStyle name="20% - 강조색1 2 3 4" xfId="55" xr:uid="{00000000-0005-0000-0000-00002F000000}"/>
    <cellStyle name="20% - 강조색1 2 3 5" xfId="56" xr:uid="{00000000-0005-0000-0000-000030000000}"/>
    <cellStyle name="20% - 강조색1 2 3 6" xfId="57" xr:uid="{00000000-0005-0000-0000-000031000000}"/>
    <cellStyle name="20% - 강조색1 2 4" xfId="58" xr:uid="{00000000-0005-0000-0000-000032000000}"/>
    <cellStyle name="20% - 강조색1 2 4 2" xfId="59" xr:uid="{00000000-0005-0000-0000-000033000000}"/>
    <cellStyle name="20% - 강조색1 2 4 3" xfId="60" xr:uid="{00000000-0005-0000-0000-000034000000}"/>
    <cellStyle name="20% - 강조색1 2 4 4" xfId="61" xr:uid="{00000000-0005-0000-0000-000035000000}"/>
    <cellStyle name="20% - 강조색1 2 4 5" xfId="62" xr:uid="{00000000-0005-0000-0000-000036000000}"/>
    <cellStyle name="20% - 강조색1 2 4 6" xfId="63" xr:uid="{00000000-0005-0000-0000-000037000000}"/>
    <cellStyle name="20% - 강조색1 2 5" xfId="64" xr:uid="{00000000-0005-0000-0000-000038000000}"/>
    <cellStyle name="20% - 강조색1 2 5 2" xfId="65" xr:uid="{00000000-0005-0000-0000-000039000000}"/>
    <cellStyle name="20% - 강조색1 2 5 3" xfId="66" xr:uid="{00000000-0005-0000-0000-00003A000000}"/>
    <cellStyle name="20% - 강조색1 2 5 4" xfId="67" xr:uid="{00000000-0005-0000-0000-00003B000000}"/>
    <cellStyle name="20% - 강조색1 2 5 5" xfId="68" xr:uid="{00000000-0005-0000-0000-00003C000000}"/>
    <cellStyle name="20% - 강조색1 2 5 6" xfId="69" xr:uid="{00000000-0005-0000-0000-00003D000000}"/>
    <cellStyle name="20% - 강조색1 2 6" xfId="70" xr:uid="{00000000-0005-0000-0000-00003E000000}"/>
    <cellStyle name="20% - 강조색1 2 6 2" xfId="71" xr:uid="{00000000-0005-0000-0000-00003F000000}"/>
    <cellStyle name="20% - 강조색1 2 6 3" xfId="72" xr:uid="{00000000-0005-0000-0000-000040000000}"/>
    <cellStyle name="20% - 강조색1 2 6 4" xfId="73" xr:uid="{00000000-0005-0000-0000-000041000000}"/>
    <cellStyle name="20% - 강조색1 2 6 5" xfId="74" xr:uid="{00000000-0005-0000-0000-000042000000}"/>
    <cellStyle name="20% - 강조색1 2 6 6" xfId="75" xr:uid="{00000000-0005-0000-0000-000043000000}"/>
    <cellStyle name="20% - 강조색1 2 7" xfId="76" xr:uid="{00000000-0005-0000-0000-000044000000}"/>
    <cellStyle name="20% - 강조색1 2 7 2" xfId="77" xr:uid="{00000000-0005-0000-0000-000045000000}"/>
    <cellStyle name="20% - 강조색1 2 7 3" xfId="78" xr:uid="{00000000-0005-0000-0000-000046000000}"/>
    <cellStyle name="20% - 강조색1 2 7 4" xfId="79" xr:uid="{00000000-0005-0000-0000-000047000000}"/>
    <cellStyle name="20% - 강조색1 2 7 5" xfId="80" xr:uid="{00000000-0005-0000-0000-000048000000}"/>
    <cellStyle name="20% - 강조색1 2 7 6" xfId="81" xr:uid="{00000000-0005-0000-0000-000049000000}"/>
    <cellStyle name="20% - 강조색1 2 8" xfId="82" xr:uid="{00000000-0005-0000-0000-00004A000000}"/>
    <cellStyle name="20% - 강조색1 2 8 2" xfId="83" xr:uid="{00000000-0005-0000-0000-00004B000000}"/>
    <cellStyle name="20% - 강조색1 2 8 3" xfId="84" xr:uid="{00000000-0005-0000-0000-00004C000000}"/>
    <cellStyle name="20% - 강조색1 2 8 4" xfId="85" xr:uid="{00000000-0005-0000-0000-00004D000000}"/>
    <cellStyle name="20% - 강조색1 2 8 5" xfId="86" xr:uid="{00000000-0005-0000-0000-00004E000000}"/>
    <cellStyle name="20% - 강조색1 2 8 6" xfId="87" xr:uid="{00000000-0005-0000-0000-00004F000000}"/>
    <cellStyle name="20% - 강조색1 2 9" xfId="88" xr:uid="{00000000-0005-0000-0000-000050000000}"/>
    <cellStyle name="20% - 강조색1 2 9 2" xfId="89" xr:uid="{00000000-0005-0000-0000-000051000000}"/>
    <cellStyle name="20% - 강조색1 2 9 3" xfId="90" xr:uid="{00000000-0005-0000-0000-000052000000}"/>
    <cellStyle name="20% - 강조색1 2 9 4" xfId="91" xr:uid="{00000000-0005-0000-0000-000053000000}"/>
    <cellStyle name="20% - 강조색1 2 9 5" xfId="92" xr:uid="{00000000-0005-0000-0000-000054000000}"/>
    <cellStyle name="20% - 강조색1 2 9 6" xfId="93" xr:uid="{00000000-0005-0000-0000-000055000000}"/>
    <cellStyle name="20% - 강조색2 2" xfId="94" xr:uid="{00000000-0005-0000-0000-000056000000}"/>
    <cellStyle name="20% - 강조색2 2 10" xfId="95" xr:uid="{00000000-0005-0000-0000-000057000000}"/>
    <cellStyle name="20% - 강조색2 2 10 2" xfId="96" xr:uid="{00000000-0005-0000-0000-000058000000}"/>
    <cellStyle name="20% - 강조색2 2 10 3" xfId="97" xr:uid="{00000000-0005-0000-0000-000059000000}"/>
    <cellStyle name="20% - 강조색2 2 10 4" xfId="98" xr:uid="{00000000-0005-0000-0000-00005A000000}"/>
    <cellStyle name="20% - 강조색2 2 10 5" xfId="99" xr:uid="{00000000-0005-0000-0000-00005B000000}"/>
    <cellStyle name="20% - 강조색2 2 10 6" xfId="100" xr:uid="{00000000-0005-0000-0000-00005C000000}"/>
    <cellStyle name="20% - 강조색2 2 11" xfId="101" xr:uid="{00000000-0005-0000-0000-00005D000000}"/>
    <cellStyle name="20% - 강조색2 2 11 2" xfId="102" xr:uid="{00000000-0005-0000-0000-00005E000000}"/>
    <cellStyle name="20% - 강조색2 2 11 3" xfId="103" xr:uid="{00000000-0005-0000-0000-00005F000000}"/>
    <cellStyle name="20% - 강조색2 2 11 4" xfId="104" xr:uid="{00000000-0005-0000-0000-000060000000}"/>
    <cellStyle name="20% - 강조색2 2 11 5" xfId="105" xr:uid="{00000000-0005-0000-0000-000061000000}"/>
    <cellStyle name="20% - 강조색2 2 11 6" xfId="106" xr:uid="{00000000-0005-0000-0000-000062000000}"/>
    <cellStyle name="20% - 강조색2 2 12" xfId="107" xr:uid="{00000000-0005-0000-0000-000063000000}"/>
    <cellStyle name="20% - 강조색2 2 12 2" xfId="108" xr:uid="{00000000-0005-0000-0000-000064000000}"/>
    <cellStyle name="20% - 강조색2 2 12 3" xfId="109" xr:uid="{00000000-0005-0000-0000-000065000000}"/>
    <cellStyle name="20% - 강조색2 2 12 4" xfId="110" xr:uid="{00000000-0005-0000-0000-000066000000}"/>
    <cellStyle name="20% - 강조색2 2 12 5" xfId="111" xr:uid="{00000000-0005-0000-0000-000067000000}"/>
    <cellStyle name="20% - 강조색2 2 12 6" xfId="112" xr:uid="{00000000-0005-0000-0000-000068000000}"/>
    <cellStyle name="20% - 강조색2 2 13" xfId="113" xr:uid="{00000000-0005-0000-0000-000069000000}"/>
    <cellStyle name="20% - 강조색2 2 13 2" xfId="114" xr:uid="{00000000-0005-0000-0000-00006A000000}"/>
    <cellStyle name="20% - 강조색2 2 13 3" xfId="115" xr:uid="{00000000-0005-0000-0000-00006B000000}"/>
    <cellStyle name="20% - 강조색2 2 13 4" xfId="116" xr:uid="{00000000-0005-0000-0000-00006C000000}"/>
    <cellStyle name="20% - 강조색2 2 13 5" xfId="117" xr:uid="{00000000-0005-0000-0000-00006D000000}"/>
    <cellStyle name="20% - 강조색2 2 13 6" xfId="118" xr:uid="{00000000-0005-0000-0000-00006E000000}"/>
    <cellStyle name="20% - 강조색2 2 14" xfId="119" xr:uid="{00000000-0005-0000-0000-00006F000000}"/>
    <cellStyle name="20% - 강조색2 2 14 2" xfId="120" xr:uid="{00000000-0005-0000-0000-000070000000}"/>
    <cellStyle name="20% - 강조색2 2 14 3" xfId="121" xr:uid="{00000000-0005-0000-0000-000071000000}"/>
    <cellStyle name="20% - 강조색2 2 14 4" xfId="122" xr:uid="{00000000-0005-0000-0000-000072000000}"/>
    <cellStyle name="20% - 강조색2 2 14 5" xfId="123" xr:uid="{00000000-0005-0000-0000-000073000000}"/>
    <cellStyle name="20% - 강조색2 2 14 6" xfId="124" xr:uid="{00000000-0005-0000-0000-000074000000}"/>
    <cellStyle name="20% - 강조색2 2 15" xfId="125" xr:uid="{00000000-0005-0000-0000-000075000000}"/>
    <cellStyle name="20% - 강조색2 2 16" xfId="126" xr:uid="{00000000-0005-0000-0000-000076000000}"/>
    <cellStyle name="20% - 강조색2 2 17" xfId="127" xr:uid="{00000000-0005-0000-0000-000077000000}"/>
    <cellStyle name="20% - 강조색2 2 18" xfId="128" xr:uid="{00000000-0005-0000-0000-000078000000}"/>
    <cellStyle name="20% - 강조색2 2 19" xfId="129" xr:uid="{00000000-0005-0000-0000-000079000000}"/>
    <cellStyle name="20% - 강조색2 2 2" xfId="130" xr:uid="{00000000-0005-0000-0000-00007A000000}"/>
    <cellStyle name="20% - 강조색2 2 2 2" xfId="131" xr:uid="{00000000-0005-0000-0000-00007B000000}"/>
    <cellStyle name="20% - 강조색2 2 2 3" xfId="132" xr:uid="{00000000-0005-0000-0000-00007C000000}"/>
    <cellStyle name="20% - 강조색2 2 2 4" xfId="133" xr:uid="{00000000-0005-0000-0000-00007D000000}"/>
    <cellStyle name="20% - 강조색2 2 2 5" xfId="134" xr:uid="{00000000-0005-0000-0000-00007E000000}"/>
    <cellStyle name="20% - 강조색2 2 2 6" xfId="135" xr:uid="{00000000-0005-0000-0000-00007F000000}"/>
    <cellStyle name="20% - 강조색2 2 3" xfId="136" xr:uid="{00000000-0005-0000-0000-000080000000}"/>
    <cellStyle name="20% - 강조색2 2 3 2" xfId="137" xr:uid="{00000000-0005-0000-0000-000081000000}"/>
    <cellStyle name="20% - 강조색2 2 3 3" xfId="138" xr:uid="{00000000-0005-0000-0000-000082000000}"/>
    <cellStyle name="20% - 강조색2 2 3 4" xfId="139" xr:uid="{00000000-0005-0000-0000-000083000000}"/>
    <cellStyle name="20% - 강조색2 2 3 5" xfId="140" xr:uid="{00000000-0005-0000-0000-000084000000}"/>
    <cellStyle name="20% - 강조색2 2 3 6" xfId="141" xr:uid="{00000000-0005-0000-0000-000085000000}"/>
    <cellStyle name="20% - 강조색2 2 4" xfId="142" xr:uid="{00000000-0005-0000-0000-000086000000}"/>
    <cellStyle name="20% - 강조색2 2 4 2" xfId="143" xr:uid="{00000000-0005-0000-0000-000087000000}"/>
    <cellStyle name="20% - 강조색2 2 4 3" xfId="144" xr:uid="{00000000-0005-0000-0000-000088000000}"/>
    <cellStyle name="20% - 강조색2 2 4 4" xfId="145" xr:uid="{00000000-0005-0000-0000-000089000000}"/>
    <cellStyle name="20% - 강조색2 2 4 5" xfId="146" xr:uid="{00000000-0005-0000-0000-00008A000000}"/>
    <cellStyle name="20% - 강조색2 2 4 6" xfId="147" xr:uid="{00000000-0005-0000-0000-00008B000000}"/>
    <cellStyle name="20% - 강조색2 2 5" xfId="148" xr:uid="{00000000-0005-0000-0000-00008C000000}"/>
    <cellStyle name="20% - 강조색2 2 5 2" xfId="149" xr:uid="{00000000-0005-0000-0000-00008D000000}"/>
    <cellStyle name="20% - 강조색2 2 5 3" xfId="150" xr:uid="{00000000-0005-0000-0000-00008E000000}"/>
    <cellStyle name="20% - 강조색2 2 5 4" xfId="151" xr:uid="{00000000-0005-0000-0000-00008F000000}"/>
    <cellStyle name="20% - 강조색2 2 5 5" xfId="152" xr:uid="{00000000-0005-0000-0000-000090000000}"/>
    <cellStyle name="20% - 강조색2 2 5 6" xfId="153" xr:uid="{00000000-0005-0000-0000-000091000000}"/>
    <cellStyle name="20% - 강조색2 2 6" xfId="154" xr:uid="{00000000-0005-0000-0000-000092000000}"/>
    <cellStyle name="20% - 강조색2 2 6 2" xfId="155" xr:uid="{00000000-0005-0000-0000-000093000000}"/>
    <cellStyle name="20% - 강조색2 2 6 3" xfId="156" xr:uid="{00000000-0005-0000-0000-000094000000}"/>
    <cellStyle name="20% - 강조색2 2 6 4" xfId="157" xr:uid="{00000000-0005-0000-0000-000095000000}"/>
    <cellStyle name="20% - 강조색2 2 6 5" xfId="158" xr:uid="{00000000-0005-0000-0000-000096000000}"/>
    <cellStyle name="20% - 강조색2 2 6 6" xfId="159" xr:uid="{00000000-0005-0000-0000-000097000000}"/>
    <cellStyle name="20% - 강조색2 2 7" xfId="160" xr:uid="{00000000-0005-0000-0000-000098000000}"/>
    <cellStyle name="20% - 강조색2 2 7 2" xfId="161" xr:uid="{00000000-0005-0000-0000-000099000000}"/>
    <cellStyle name="20% - 강조색2 2 7 3" xfId="162" xr:uid="{00000000-0005-0000-0000-00009A000000}"/>
    <cellStyle name="20% - 강조색2 2 7 4" xfId="163" xr:uid="{00000000-0005-0000-0000-00009B000000}"/>
    <cellStyle name="20% - 강조색2 2 7 5" xfId="164" xr:uid="{00000000-0005-0000-0000-00009C000000}"/>
    <cellStyle name="20% - 강조색2 2 7 6" xfId="165" xr:uid="{00000000-0005-0000-0000-00009D000000}"/>
    <cellStyle name="20% - 강조색2 2 8" xfId="166" xr:uid="{00000000-0005-0000-0000-00009E000000}"/>
    <cellStyle name="20% - 강조색2 2 8 2" xfId="167" xr:uid="{00000000-0005-0000-0000-00009F000000}"/>
    <cellStyle name="20% - 강조색2 2 8 3" xfId="168" xr:uid="{00000000-0005-0000-0000-0000A0000000}"/>
    <cellStyle name="20% - 강조색2 2 8 4" xfId="169" xr:uid="{00000000-0005-0000-0000-0000A1000000}"/>
    <cellStyle name="20% - 강조색2 2 8 5" xfId="170" xr:uid="{00000000-0005-0000-0000-0000A2000000}"/>
    <cellStyle name="20% - 강조색2 2 8 6" xfId="171" xr:uid="{00000000-0005-0000-0000-0000A3000000}"/>
    <cellStyle name="20% - 강조색2 2 9" xfId="172" xr:uid="{00000000-0005-0000-0000-0000A4000000}"/>
    <cellStyle name="20% - 강조색2 2 9 2" xfId="173" xr:uid="{00000000-0005-0000-0000-0000A5000000}"/>
    <cellStyle name="20% - 강조색2 2 9 3" xfId="174" xr:uid="{00000000-0005-0000-0000-0000A6000000}"/>
    <cellStyle name="20% - 강조색2 2 9 4" xfId="175" xr:uid="{00000000-0005-0000-0000-0000A7000000}"/>
    <cellStyle name="20% - 강조색2 2 9 5" xfId="176" xr:uid="{00000000-0005-0000-0000-0000A8000000}"/>
    <cellStyle name="20% - 강조색2 2 9 6" xfId="177" xr:uid="{00000000-0005-0000-0000-0000A9000000}"/>
    <cellStyle name="20% - 강조색3 2" xfId="178" xr:uid="{00000000-0005-0000-0000-0000AA000000}"/>
    <cellStyle name="20% - 강조색3 2 10" xfId="179" xr:uid="{00000000-0005-0000-0000-0000AB000000}"/>
    <cellStyle name="20% - 강조색3 2 10 2" xfId="180" xr:uid="{00000000-0005-0000-0000-0000AC000000}"/>
    <cellStyle name="20% - 강조색3 2 10 3" xfId="181" xr:uid="{00000000-0005-0000-0000-0000AD000000}"/>
    <cellStyle name="20% - 강조색3 2 10 4" xfId="182" xr:uid="{00000000-0005-0000-0000-0000AE000000}"/>
    <cellStyle name="20% - 강조색3 2 10 5" xfId="183" xr:uid="{00000000-0005-0000-0000-0000AF000000}"/>
    <cellStyle name="20% - 강조색3 2 10 6" xfId="184" xr:uid="{00000000-0005-0000-0000-0000B0000000}"/>
    <cellStyle name="20% - 강조색3 2 11" xfId="185" xr:uid="{00000000-0005-0000-0000-0000B1000000}"/>
    <cellStyle name="20% - 강조색3 2 11 2" xfId="186" xr:uid="{00000000-0005-0000-0000-0000B2000000}"/>
    <cellStyle name="20% - 강조색3 2 11 3" xfId="187" xr:uid="{00000000-0005-0000-0000-0000B3000000}"/>
    <cellStyle name="20% - 강조색3 2 11 4" xfId="188" xr:uid="{00000000-0005-0000-0000-0000B4000000}"/>
    <cellStyle name="20% - 강조색3 2 11 5" xfId="189" xr:uid="{00000000-0005-0000-0000-0000B5000000}"/>
    <cellStyle name="20% - 강조색3 2 11 6" xfId="190" xr:uid="{00000000-0005-0000-0000-0000B6000000}"/>
    <cellStyle name="20% - 강조색3 2 12" xfId="191" xr:uid="{00000000-0005-0000-0000-0000B7000000}"/>
    <cellStyle name="20% - 강조색3 2 12 2" xfId="192" xr:uid="{00000000-0005-0000-0000-0000B8000000}"/>
    <cellStyle name="20% - 강조색3 2 12 3" xfId="193" xr:uid="{00000000-0005-0000-0000-0000B9000000}"/>
    <cellStyle name="20% - 강조색3 2 12 4" xfId="194" xr:uid="{00000000-0005-0000-0000-0000BA000000}"/>
    <cellStyle name="20% - 강조색3 2 12 5" xfId="195" xr:uid="{00000000-0005-0000-0000-0000BB000000}"/>
    <cellStyle name="20% - 강조색3 2 12 6" xfId="196" xr:uid="{00000000-0005-0000-0000-0000BC000000}"/>
    <cellStyle name="20% - 강조색3 2 13" xfId="197" xr:uid="{00000000-0005-0000-0000-0000BD000000}"/>
    <cellStyle name="20% - 강조색3 2 13 2" xfId="198" xr:uid="{00000000-0005-0000-0000-0000BE000000}"/>
    <cellStyle name="20% - 강조색3 2 13 3" xfId="199" xr:uid="{00000000-0005-0000-0000-0000BF000000}"/>
    <cellStyle name="20% - 강조색3 2 13 4" xfId="200" xr:uid="{00000000-0005-0000-0000-0000C0000000}"/>
    <cellStyle name="20% - 강조색3 2 13 5" xfId="201" xr:uid="{00000000-0005-0000-0000-0000C1000000}"/>
    <cellStyle name="20% - 강조색3 2 13 6" xfId="202" xr:uid="{00000000-0005-0000-0000-0000C2000000}"/>
    <cellStyle name="20% - 강조색3 2 14" xfId="203" xr:uid="{00000000-0005-0000-0000-0000C3000000}"/>
    <cellStyle name="20% - 강조색3 2 14 2" xfId="204" xr:uid="{00000000-0005-0000-0000-0000C4000000}"/>
    <cellStyle name="20% - 강조색3 2 14 3" xfId="205" xr:uid="{00000000-0005-0000-0000-0000C5000000}"/>
    <cellStyle name="20% - 강조색3 2 14 4" xfId="206" xr:uid="{00000000-0005-0000-0000-0000C6000000}"/>
    <cellStyle name="20% - 강조색3 2 14 5" xfId="207" xr:uid="{00000000-0005-0000-0000-0000C7000000}"/>
    <cellStyle name="20% - 강조색3 2 14 6" xfId="208" xr:uid="{00000000-0005-0000-0000-0000C8000000}"/>
    <cellStyle name="20% - 강조색3 2 15" xfId="209" xr:uid="{00000000-0005-0000-0000-0000C9000000}"/>
    <cellStyle name="20% - 강조색3 2 16" xfId="210" xr:uid="{00000000-0005-0000-0000-0000CA000000}"/>
    <cellStyle name="20% - 강조색3 2 17" xfId="211" xr:uid="{00000000-0005-0000-0000-0000CB000000}"/>
    <cellStyle name="20% - 강조색3 2 18" xfId="212" xr:uid="{00000000-0005-0000-0000-0000CC000000}"/>
    <cellStyle name="20% - 강조색3 2 19" xfId="213" xr:uid="{00000000-0005-0000-0000-0000CD000000}"/>
    <cellStyle name="20% - 강조색3 2 2" xfId="214" xr:uid="{00000000-0005-0000-0000-0000CE000000}"/>
    <cellStyle name="20% - 강조색3 2 2 2" xfId="215" xr:uid="{00000000-0005-0000-0000-0000CF000000}"/>
    <cellStyle name="20% - 강조색3 2 2 3" xfId="216" xr:uid="{00000000-0005-0000-0000-0000D0000000}"/>
    <cellStyle name="20% - 강조색3 2 2 4" xfId="217" xr:uid="{00000000-0005-0000-0000-0000D1000000}"/>
    <cellStyle name="20% - 강조색3 2 2 5" xfId="218" xr:uid="{00000000-0005-0000-0000-0000D2000000}"/>
    <cellStyle name="20% - 강조색3 2 2 6" xfId="219" xr:uid="{00000000-0005-0000-0000-0000D3000000}"/>
    <cellStyle name="20% - 강조색3 2 3" xfId="220" xr:uid="{00000000-0005-0000-0000-0000D4000000}"/>
    <cellStyle name="20% - 강조색3 2 3 2" xfId="221" xr:uid="{00000000-0005-0000-0000-0000D5000000}"/>
    <cellStyle name="20% - 강조색3 2 3 3" xfId="222" xr:uid="{00000000-0005-0000-0000-0000D6000000}"/>
    <cellStyle name="20% - 강조색3 2 3 4" xfId="223" xr:uid="{00000000-0005-0000-0000-0000D7000000}"/>
    <cellStyle name="20% - 강조색3 2 3 5" xfId="224" xr:uid="{00000000-0005-0000-0000-0000D8000000}"/>
    <cellStyle name="20% - 강조색3 2 3 6" xfId="225" xr:uid="{00000000-0005-0000-0000-0000D9000000}"/>
    <cellStyle name="20% - 강조색3 2 4" xfId="226" xr:uid="{00000000-0005-0000-0000-0000DA000000}"/>
    <cellStyle name="20% - 강조색3 2 4 2" xfId="227" xr:uid="{00000000-0005-0000-0000-0000DB000000}"/>
    <cellStyle name="20% - 강조색3 2 4 3" xfId="228" xr:uid="{00000000-0005-0000-0000-0000DC000000}"/>
    <cellStyle name="20% - 강조색3 2 4 4" xfId="229" xr:uid="{00000000-0005-0000-0000-0000DD000000}"/>
    <cellStyle name="20% - 강조색3 2 4 5" xfId="230" xr:uid="{00000000-0005-0000-0000-0000DE000000}"/>
    <cellStyle name="20% - 강조색3 2 4 6" xfId="231" xr:uid="{00000000-0005-0000-0000-0000DF000000}"/>
    <cellStyle name="20% - 강조색3 2 5" xfId="232" xr:uid="{00000000-0005-0000-0000-0000E0000000}"/>
    <cellStyle name="20% - 강조색3 2 5 2" xfId="233" xr:uid="{00000000-0005-0000-0000-0000E1000000}"/>
    <cellStyle name="20% - 강조색3 2 5 3" xfId="234" xr:uid="{00000000-0005-0000-0000-0000E2000000}"/>
    <cellStyle name="20% - 강조색3 2 5 4" xfId="235" xr:uid="{00000000-0005-0000-0000-0000E3000000}"/>
    <cellStyle name="20% - 강조색3 2 5 5" xfId="236" xr:uid="{00000000-0005-0000-0000-0000E4000000}"/>
    <cellStyle name="20% - 강조색3 2 5 6" xfId="237" xr:uid="{00000000-0005-0000-0000-0000E5000000}"/>
    <cellStyle name="20% - 강조색3 2 6" xfId="238" xr:uid="{00000000-0005-0000-0000-0000E6000000}"/>
    <cellStyle name="20% - 강조색3 2 6 2" xfId="239" xr:uid="{00000000-0005-0000-0000-0000E7000000}"/>
    <cellStyle name="20% - 강조색3 2 6 3" xfId="240" xr:uid="{00000000-0005-0000-0000-0000E8000000}"/>
    <cellStyle name="20% - 강조색3 2 6 4" xfId="241" xr:uid="{00000000-0005-0000-0000-0000E9000000}"/>
    <cellStyle name="20% - 강조색3 2 6 5" xfId="242" xr:uid="{00000000-0005-0000-0000-0000EA000000}"/>
    <cellStyle name="20% - 강조색3 2 6 6" xfId="243" xr:uid="{00000000-0005-0000-0000-0000EB000000}"/>
    <cellStyle name="20% - 강조색3 2 7" xfId="244" xr:uid="{00000000-0005-0000-0000-0000EC000000}"/>
    <cellStyle name="20% - 강조색3 2 7 2" xfId="245" xr:uid="{00000000-0005-0000-0000-0000ED000000}"/>
    <cellStyle name="20% - 강조색3 2 7 3" xfId="246" xr:uid="{00000000-0005-0000-0000-0000EE000000}"/>
    <cellStyle name="20% - 강조색3 2 7 4" xfId="247" xr:uid="{00000000-0005-0000-0000-0000EF000000}"/>
    <cellStyle name="20% - 강조색3 2 7 5" xfId="248" xr:uid="{00000000-0005-0000-0000-0000F0000000}"/>
    <cellStyle name="20% - 강조색3 2 7 6" xfId="249" xr:uid="{00000000-0005-0000-0000-0000F1000000}"/>
    <cellStyle name="20% - 강조색3 2 8" xfId="250" xr:uid="{00000000-0005-0000-0000-0000F2000000}"/>
    <cellStyle name="20% - 강조색3 2 8 2" xfId="251" xr:uid="{00000000-0005-0000-0000-0000F3000000}"/>
    <cellStyle name="20% - 강조색3 2 8 3" xfId="252" xr:uid="{00000000-0005-0000-0000-0000F4000000}"/>
    <cellStyle name="20% - 강조색3 2 8 4" xfId="253" xr:uid="{00000000-0005-0000-0000-0000F5000000}"/>
    <cellStyle name="20% - 강조색3 2 8 5" xfId="254" xr:uid="{00000000-0005-0000-0000-0000F6000000}"/>
    <cellStyle name="20% - 강조색3 2 8 6" xfId="255" xr:uid="{00000000-0005-0000-0000-0000F7000000}"/>
    <cellStyle name="20% - 강조색3 2 9" xfId="256" xr:uid="{00000000-0005-0000-0000-0000F8000000}"/>
    <cellStyle name="20% - 강조색3 2 9 2" xfId="257" xr:uid="{00000000-0005-0000-0000-0000F9000000}"/>
    <cellStyle name="20% - 강조색3 2 9 3" xfId="258" xr:uid="{00000000-0005-0000-0000-0000FA000000}"/>
    <cellStyle name="20% - 강조색3 2 9 4" xfId="259" xr:uid="{00000000-0005-0000-0000-0000FB000000}"/>
    <cellStyle name="20% - 강조색3 2 9 5" xfId="260" xr:uid="{00000000-0005-0000-0000-0000FC000000}"/>
    <cellStyle name="20% - 강조색3 2 9 6" xfId="261" xr:uid="{00000000-0005-0000-0000-0000FD000000}"/>
    <cellStyle name="20% - 강조색4 2" xfId="262" xr:uid="{00000000-0005-0000-0000-0000FE000000}"/>
    <cellStyle name="20% - 강조색4 2 10" xfId="263" xr:uid="{00000000-0005-0000-0000-0000FF000000}"/>
    <cellStyle name="20% - 강조색4 2 10 2" xfId="264" xr:uid="{00000000-0005-0000-0000-000000010000}"/>
    <cellStyle name="20% - 강조색4 2 10 3" xfId="265" xr:uid="{00000000-0005-0000-0000-000001010000}"/>
    <cellStyle name="20% - 강조색4 2 10 4" xfId="266" xr:uid="{00000000-0005-0000-0000-000002010000}"/>
    <cellStyle name="20% - 강조색4 2 10 5" xfId="267" xr:uid="{00000000-0005-0000-0000-000003010000}"/>
    <cellStyle name="20% - 강조색4 2 10 6" xfId="268" xr:uid="{00000000-0005-0000-0000-000004010000}"/>
    <cellStyle name="20% - 강조색4 2 11" xfId="269" xr:uid="{00000000-0005-0000-0000-000005010000}"/>
    <cellStyle name="20% - 강조색4 2 11 2" xfId="270" xr:uid="{00000000-0005-0000-0000-000006010000}"/>
    <cellStyle name="20% - 강조색4 2 11 3" xfId="271" xr:uid="{00000000-0005-0000-0000-000007010000}"/>
    <cellStyle name="20% - 강조색4 2 11 4" xfId="272" xr:uid="{00000000-0005-0000-0000-000008010000}"/>
    <cellStyle name="20% - 강조색4 2 11 5" xfId="273" xr:uid="{00000000-0005-0000-0000-000009010000}"/>
    <cellStyle name="20% - 강조색4 2 11 6" xfId="274" xr:uid="{00000000-0005-0000-0000-00000A010000}"/>
    <cellStyle name="20% - 강조색4 2 12" xfId="275" xr:uid="{00000000-0005-0000-0000-00000B010000}"/>
    <cellStyle name="20% - 강조색4 2 12 2" xfId="276" xr:uid="{00000000-0005-0000-0000-00000C010000}"/>
    <cellStyle name="20% - 강조색4 2 12 3" xfId="277" xr:uid="{00000000-0005-0000-0000-00000D010000}"/>
    <cellStyle name="20% - 강조색4 2 12 4" xfId="278" xr:uid="{00000000-0005-0000-0000-00000E010000}"/>
    <cellStyle name="20% - 강조색4 2 12 5" xfId="279" xr:uid="{00000000-0005-0000-0000-00000F010000}"/>
    <cellStyle name="20% - 강조색4 2 12 6" xfId="280" xr:uid="{00000000-0005-0000-0000-000010010000}"/>
    <cellStyle name="20% - 강조색4 2 13" xfId="281" xr:uid="{00000000-0005-0000-0000-000011010000}"/>
    <cellStyle name="20% - 강조색4 2 13 2" xfId="282" xr:uid="{00000000-0005-0000-0000-000012010000}"/>
    <cellStyle name="20% - 강조색4 2 13 3" xfId="283" xr:uid="{00000000-0005-0000-0000-000013010000}"/>
    <cellStyle name="20% - 강조색4 2 13 4" xfId="284" xr:uid="{00000000-0005-0000-0000-000014010000}"/>
    <cellStyle name="20% - 강조색4 2 13 5" xfId="285" xr:uid="{00000000-0005-0000-0000-000015010000}"/>
    <cellStyle name="20% - 강조색4 2 13 6" xfId="286" xr:uid="{00000000-0005-0000-0000-000016010000}"/>
    <cellStyle name="20% - 강조색4 2 14" xfId="287" xr:uid="{00000000-0005-0000-0000-000017010000}"/>
    <cellStyle name="20% - 강조색4 2 14 2" xfId="288" xr:uid="{00000000-0005-0000-0000-000018010000}"/>
    <cellStyle name="20% - 강조색4 2 14 3" xfId="289" xr:uid="{00000000-0005-0000-0000-000019010000}"/>
    <cellStyle name="20% - 강조색4 2 14 4" xfId="290" xr:uid="{00000000-0005-0000-0000-00001A010000}"/>
    <cellStyle name="20% - 강조색4 2 14 5" xfId="291" xr:uid="{00000000-0005-0000-0000-00001B010000}"/>
    <cellStyle name="20% - 강조색4 2 14 6" xfId="292" xr:uid="{00000000-0005-0000-0000-00001C010000}"/>
    <cellStyle name="20% - 강조색4 2 15" xfId="293" xr:uid="{00000000-0005-0000-0000-00001D010000}"/>
    <cellStyle name="20% - 강조색4 2 16" xfId="294" xr:uid="{00000000-0005-0000-0000-00001E010000}"/>
    <cellStyle name="20% - 강조색4 2 17" xfId="295" xr:uid="{00000000-0005-0000-0000-00001F010000}"/>
    <cellStyle name="20% - 강조색4 2 18" xfId="296" xr:uid="{00000000-0005-0000-0000-000020010000}"/>
    <cellStyle name="20% - 강조색4 2 19" xfId="297" xr:uid="{00000000-0005-0000-0000-000021010000}"/>
    <cellStyle name="20% - 강조색4 2 2" xfId="298" xr:uid="{00000000-0005-0000-0000-000022010000}"/>
    <cellStyle name="20% - 강조색4 2 2 2" xfId="299" xr:uid="{00000000-0005-0000-0000-000023010000}"/>
    <cellStyle name="20% - 강조색4 2 2 3" xfId="300" xr:uid="{00000000-0005-0000-0000-000024010000}"/>
    <cellStyle name="20% - 강조색4 2 2 4" xfId="301" xr:uid="{00000000-0005-0000-0000-000025010000}"/>
    <cellStyle name="20% - 강조색4 2 2 5" xfId="302" xr:uid="{00000000-0005-0000-0000-000026010000}"/>
    <cellStyle name="20% - 강조색4 2 2 6" xfId="303" xr:uid="{00000000-0005-0000-0000-000027010000}"/>
    <cellStyle name="20% - 강조색4 2 3" xfId="304" xr:uid="{00000000-0005-0000-0000-000028010000}"/>
    <cellStyle name="20% - 강조색4 2 3 2" xfId="305" xr:uid="{00000000-0005-0000-0000-000029010000}"/>
    <cellStyle name="20% - 강조색4 2 3 3" xfId="306" xr:uid="{00000000-0005-0000-0000-00002A010000}"/>
    <cellStyle name="20% - 강조색4 2 3 4" xfId="307" xr:uid="{00000000-0005-0000-0000-00002B010000}"/>
    <cellStyle name="20% - 강조색4 2 3 5" xfId="308" xr:uid="{00000000-0005-0000-0000-00002C010000}"/>
    <cellStyle name="20% - 강조색4 2 3 6" xfId="309" xr:uid="{00000000-0005-0000-0000-00002D010000}"/>
    <cellStyle name="20% - 강조색4 2 4" xfId="310" xr:uid="{00000000-0005-0000-0000-00002E010000}"/>
    <cellStyle name="20% - 강조색4 2 4 2" xfId="311" xr:uid="{00000000-0005-0000-0000-00002F010000}"/>
    <cellStyle name="20% - 강조색4 2 4 3" xfId="312" xr:uid="{00000000-0005-0000-0000-000030010000}"/>
    <cellStyle name="20% - 강조색4 2 4 4" xfId="313" xr:uid="{00000000-0005-0000-0000-000031010000}"/>
    <cellStyle name="20% - 강조색4 2 4 5" xfId="314" xr:uid="{00000000-0005-0000-0000-000032010000}"/>
    <cellStyle name="20% - 강조색4 2 4 6" xfId="315" xr:uid="{00000000-0005-0000-0000-000033010000}"/>
    <cellStyle name="20% - 강조색4 2 5" xfId="316" xr:uid="{00000000-0005-0000-0000-000034010000}"/>
    <cellStyle name="20% - 강조색4 2 5 2" xfId="317" xr:uid="{00000000-0005-0000-0000-000035010000}"/>
    <cellStyle name="20% - 강조색4 2 5 3" xfId="318" xr:uid="{00000000-0005-0000-0000-000036010000}"/>
    <cellStyle name="20% - 강조색4 2 5 4" xfId="319" xr:uid="{00000000-0005-0000-0000-000037010000}"/>
    <cellStyle name="20% - 강조색4 2 5 5" xfId="320" xr:uid="{00000000-0005-0000-0000-000038010000}"/>
    <cellStyle name="20% - 강조색4 2 5 6" xfId="321" xr:uid="{00000000-0005-0000-0000-000039010000}"/>
    <cellStyle name="20% - 강조색4 2 6" xfId="322" xr:uid="{00000000-0005-0000-0000-00003A010000}"/>
    <cellStyle name="20% - 강조색4 2 6 2" xfId="323" xr:uid="{00000000-0005-0000-0000-00003B010000}"/>
    <cellStyle name="20% - 강조색4 2 6 3" xfId="324" xr:uid="{00000000-0005-0000-0000-00003C010000}"/>
    <cellStyle name="20% - 강조색4 2 6 4" xfId="325" xr:uid="{00000000-0005-0000-0000-00003D010000}"/>
    <cellStyle name="20% - 강조색4 2 6 5" xfId="326" xr:uid="{00000000-0005-0000-0000-00003E010000}"/>
    <cellStyle name="20% - 강조색4 2 6 6" xfId="327" xr:uid="{00000000-0005-0000-0000-00003F010000}"/>
    <cellStyle name="20% - 강조색4 2 7" xfId="328" xr:uid="{00000000-0005-0000-0000-000040010000}"/>
    <cellStyle name="20% - 강조색4 2 7 2" xfId="329" xr:uid="{00000000-0005-0000-0000-000041010000}"/>
    <cellStyle name="20% - 강조색4 2 7 3" xfId="330" xr:uid="{00000000-0005-0000-0000-000042010000}"/>
    <cellStyle name="20% - 강조색4 2 7 4" xfId="331" xr:uid="{00000000-0005-0000-0000-000043010000}"/>
    <cellStyle name="20% - 강조색4 2 7 5" xfId="332" xr:uid="{00000000-0005-0000-0000-000044010000}"/>
    <cellStyle name="20% - 강조색4 2 7 6" xfId="333" xr:uid="{00000000-0005-0000-0000-000045010000}"/>
    <cellStyle name="20% - 강조색4 2 8" xfId="334" xr:uid="{00000000-0005-0000-0000-000046010000}"/>
    <cellStyle name="20% - 강조색4 2 8 2" xfId="335" xr:uid="{00000000-0005-0000-0000-000047010000}"/>
    <cellStyle name="20% - 강조색4 2 8 3" xfId="336" xr:uid="{00000000-0005-0000-0000-000048010000}"/>
    <cellStyle name="20% - 강조색4 2 8 4" xfId="337" xr:uid="{00000000-0005-0000-0000-000049010000}"/>
    <cellStyle name="20% - 강조색4 2 8 5" xfId="338" xr:uid="{00000000-0005-0000-0000-00004A010000}"/>
    <cellStyle name="20% - 강조색4 2 8 6" xfId="339" xr:uid="{00000000-0005-0000-0000-00004B010000}"/>
    <cellStyle name="20% - 강조색4 2 9" xfId="340" xr:uid="{00000000-0005-0000-0000-00004C010000}"/>
    <cellStyle name="20% - 강조색4 2 9 2" xfId="341" xr:uid="{00000000-0005-0000-0000-00004D010000}"/>
    <cellStyle name="20% - 강조색4 2 9 3" xfId="342" xr:uid="{00000000-0005-0000-0000-00004E010000}"/>
    <cellStyle name="20% - 강조색4 2 9 4" xfId="343" xr:uid="{00000000-0005-0000-0000-00004F010000}"/>
    <cellStyle name="20% - 강조색4 2 9 5" xfId="344" xr:uid="{00000000-0005-0000-0000-000050010000}"/>
    <cellStyle name="20% - 강조색4 2 9 6" xfId="345" xr:uid="{00000000-0005-0000-0000-000051010000}"/>
    <cellStyle name="20% - 강조색5 2" xfId="346" xr:uid="{00000000-0005-0000-0000-000052010000}"/>
    <cellStyle name="20% - 강조색5 2 10" xfId="347" xr:uid="{00000000-0005-0000-0000-000053010000}"/>
    <cellStyle name="20% - 강조색5 2 10 2" xfId="348" xr:uid="{00000000-0005-0000-0000-000054010000}"/>
    <cellStyle name="20% - 강조색5 2 10 3" xfId="349" xr:uid="{00000000-0005-0000-0000-000055010000}"/>
    <cellStyle name="20% - 강조색5 2 10 4" xfId="350" xr:uid="{00000000-0005-0000-0000-000056010000}"/>
    <cellStyle name="20% - 강조색5 2 10 5" xfId="351" xr:uid="{00000000-0005-0000-0000-000057010000}"/>
    <cellStyle name="20% - 강조색5 2 10 6" xfId="352" xr:uid="{00000000-0005-0000-0000-000058010000}"/>
    <cellStyle name="20% - 강조색5 2 11" xfId="353" xr:uid="{00000000-0005-0000-0000-000059010000}"/>
    <cellStyle name="20% - 강조색5 2 11 2" xfId="354" xr:uid="{00000000-0005-0000-0000-00005A010000}"/>
    <cellStyle name="20% - 강조색5 2 11 3" xfId="355" xr:uid="{00000000-0005-0000-0000-00005B010000}"/>
    <cellStyle name="20% - 강조색5 2 11 4" xfId="356" xr:uid="{00000000-0005-0000-0000-00005C010000}"/>
    <cellStyle name="20% - 강조색5 2 11 5" xfId="357" xr:uid="{00000000-0005-0000-0000-00005D010000}"/>
    <cellStyle name="20% - 강조색5 2 11 6" xfId="358" xr:uid="{00000000-0005-0000-0000-00005E010000}"/>
    <cellStyle name="20% - 강조색5 2 12" xfId="359" xr:uid="{00000000-0005-0000-0000-00005F010000}"/>
    <cellStyle name="20% - 강조색5 2 12 2" xfId="360" xr:uid="{00000000-0005-0000-0000-000060010000}"/>
    <cellStyle name="20% - 강조색5 2 12 3" xfId="361" xr:uid="{00000000-0005-0000-0000-000061010000}"/>
    <cellStyle name="20% - 강조색5 2 12 4" xfId="362" xr:uid="{00000000-0005-0000-0000-000062010000}"/>
    <cellStyle name="20% - 강조색5 2 12 5" xfId="363" xr:uid="{00000000-0005-0000-0000-000063010000}"/>
    <cellStyle name="20% - 강조색5 2 12 6" xfId="364" xr:uid="{00000000-0005-0000-0000-000064010000}"/>
    <cellStyle name="20% - 강조색5 2 13" xfId="365" xr:uid="{00000000-0005-0000-0000-000065010000}"/>
    <cellStyle name="20% - 강조색5 2 13 2" xfId="366" xr:uid="{00000000-0005-0000-0000-000066010000}"/>
    <cellStyle name="20% - 강조색5 2 13 3" xfId="367" xr:uid="{00000000-0005-0000-0000-000067010000}"/>
    <cellStyle name="20% - 강조색5 2 13 4" xfId="368" xr:uid="{00000000-0005-0000-0000-000068010000}"/>
    <cellStyle name="20% - 강조색5 2 13 5" xfId="369" xr:uid="{00000000-0005-0000-0000-000069010000}"/>
    <cellStyle name="20% - 강조색5 2 13 6" xfId="370" xr:uid="{00000000-0005-0000-0000-00006A010000}"/>
    <cellStyle name="20% - 강조색5 2 14" xfId="371" xr:uid="{00000000-0005-0000-0000-00006B010000}"/>
    <cellStyle name="20% - 강조색5 2 14 2" xfId="372" xr:uid="{00000000-0005-0000-0000-00006C010000}"/>
    <cellStyle name="20% - 강조색5 2 14 3" xfId="373" xr:uid="{00000000-0005-0000-0000-00006D010000}"/>
    <cellStyle name="20% - 강조색5 2 14 4" xfId="374" xr:uid="{00000000-0005-0000-0000-00006E010000}"/>
    <cellStyle name="20% - 강조색5 2 14 5" xfId="375" xr:uid="{00000000-0005-0000-0000-00006F010000}"/>
    <cellStyle name="20% - 강조색5 2 14 6" xfId="376" xr:uid="{00000000-0005-0000-0000-000070010000}"/>
    <cellStyle name="20% - 강조색5 2 15" xfId="377" xr:uid="{00000000-0005-0000-0000-000071010000}"/>
    <cellStyle name="20% - 강조색5 2 16" xfId="378" xr:uid="{00000000-0005-0000-0000-000072010000}"/>
    <cellStyle name="20% - 강조색5 2 17" xfId="379" xr:uid="{00000000-0005-0000-0000-000073010000}"/>
    <cellStyle name="20% - 강조색5 2 18" xfId="380" xr:uid="{00000000-0005-0000-0000-000074010000}"/>
    <cellStyle name="20% - 강조색5 2 19" xfId="381" xr:uid="{00000000-0005-0000-0000-000075010000}"/>
    <cellStyle name="20% - 강조색5 2 2" xfId="382" xr:uid="{00000000-0005-0000-0000-000076010000}"/>
    <cellStyle name="20% - 강조색5 2 2 2" xfId="383" xr:uid="{00000000-0005-0000-0000-000077010000}"/>
    <cellStyle name="20% - 강조색5 2 2 3" xfId="384" xr:uid="{00000000-0005-0000-0000-000078010000}"/>
    <cellStyle name="20% - 강조색5 2 2 4" xfId="385" xr:uid="{00000000-0005-0000-0000-000079010000}"/>
    <cellStyle name="20% - 강조색5 2 2 5" xfId="386" xr:uid="{00000000-0005-0000-0000-00007A010000}"/>
    <cellStyle name="20% - 강조색5 2 2 6" xfId="387" xr:uid="{00000000-0005-0000-0000-00007B010000}"/>
    <cellStyle name="20% - 강조색5 2 3" xfId="388" xr:uid="{00000000-0005-0000-0000-00007C010000}"/>
    <cellStyle name="20% - 강조색5 2 3 2" xfId="389" xr:uid="{00000000-0005-0000-0000-00007D010000}"/>
    <cellStyle name="20% - 강조색5 2 3 3" xfId="390" xr:uid="{00000000-0005-0000-0000-00007E010000}"/>
    <cellStyle name="20% - 강조색5 2 3 4" xfId="391" xr:uid="{00000000-0005-0000-0000-00007F010000}"/>
    <cellStyle name="20% - 강조색5 2 3 5" xfId="392" xr:uid="{00000000-0005-0000-0000-000080010000}"/>
    <cellStyle name="20% - 강조색5 2 3 6" xfId="393" xr:uid="{00000000-0005-0000-0000-000081010000}"/>
    <cellStyle name="20% - 강조색5 2 4" xfId="394" xr:uid="{00000000-0005-0000-0000-000082010000}"/>
    <cellStyle name="20% - 강조색5 2 4 2" xfId="395" xr:uid="{00000000-0005-0000-0000-000083010000}"/>
    <cellStyle name="20% - 강조색5 2 4 3" xfId="396" xr:uid="{00000000-0005-0000-0000-000084010000}"/>
    <cellStyle name="20% - 강조색5 2 4 4" xfId="397" xr:uid="{00000000-0005-0000-0000-000085010000}"/>
    <cellStyle name="20% - 강조색5 2 4 5" xfId="398" xr:uid="{00000000-0005-0000-0000-000086010000}"/>
    <cellStyle name="20% - 강조색5 2 4 6" xfId="399" xr:uid="{00000000-0005-0000-0000-000087010000}"/>
    <cellStyle name="20% - 강조색5 2 5" xfId="400" xr:uid="{00000000-0005-0000-0000-000088010000}"/>
    <cellStyle name="20% - 강조색5 2 5 2" xfId="401" xr:uid="{00000000-0005-0000-0000-000089010000}"/>
    <cellStyle name="20% - 강조색5 2 5 3" xfId="402" xr:uid="{00000000-0005-0000-0000-00008A010000}"/>
    <cellStyle name="20% - 강조색5 2 5 4" xfId="403" xr:uid="{00000000-0005-0000-0000-00008B010000}"/>
    <cellStyle name="20% - 강조색5 2 5 5" xfId="404" xr:uid="{00000000-0005-0000-0000-00008C010000}"/>
    <cellStyle name="20% - 강조색5 2 5 6" xfId="405" xr:uid="{00000000-0005-0000-0000-00008D010000}"/>
    <cellStyle name="20% - 강조색5 2 6" xfId="406" xr:uid="{00000000-0005-0000-0000-00008E010000}"/>
    <cellStyle name="20% - 강조색5 2 6 2" xfId="407" xr:uid="{00000000-0005-0000-0000-00008F010000}"/>
    <cellStyle name="20% - 강조색5 2 6 3" xfId="408" xr:uid="{00000000-0005-0000-0000-000090010000}"/>
    <cellStyle name="20% - 강조색5 2 6 4" xfId="409" xr:uid="{00000000-0005-0000-0000-000091010000}"/>
    <cellStyle name="20% - 강조색5 2 6 5" xfId="410" xr:uid="{00000000-0005-0000-0000-000092010000}"/>
    <cellStyle name="20% - 강조색5 2 6 6" xfId="411" xr:uid="{00000000-0005-0000-0000-000093010000}"/>
    <cellStyle name="20% - 강조색5 2 7" xfId="412" xr:uid="{00000000-0005-0000-0000-000094010000}"/>
    <cellStyle name="20% - 강조색5 2 7 2" xfId="413" xr:uid="{00000000-0005-0000-0000-000095010000}"/>
    <cellStyle name="20% - 강조색5 2 7 3" xfId="414" xr:uid="{00000000-0005-0000-0000-000096010000}"/>
    <cellStyle name="20% - 강조색5 2 7 4" xfId="415" xr:uid="{00000000-0005-0000-0000-000097010000}"/>
    <cellStyle name="20% - 강조색5 2 7 5" xfId="416" xr:uid="{00000000-0005-0000-0000-000098010000}"/>
    <cellStyle name="20% - 강조색5 2 7 6" xfId="417" xr:uid="{00000000-0005-0000-0000-000099010000}"/>
    <cellStyle name="20% - 강조색5 2 8" xfId="418" xr:uid="{00000000-0005-0000-0000-00009A010000}"/>
    <cellStyle name="20% - 강조색5 2 8 2" xfId="419" xr:uid="{00000000-0005-0000-0000-00009B010000}"/>
    <cellStyle name="20% - 강조색5 2 8 3" xfId="420" xr:uid="{00000000-0005-0000-0000-00009C010000}"/>
    <cellStyle name="20% - 강조색5 2 8 4" xfId="421" xr:uid="{00000000-0005-0000-0000-00009D010000}"/>
    <cellStyle name="20% - 강조색5 2 8 5" xfId="422" xr:uid="{00000000-0005-0000-0000-00009E010000}"/>
    <cellStyle name="20% - 강조색5 2 8 6" xfId="423" xr:uid="{00000000-0005-0000-0000-00009F010000}"/>
    <cellStyle name="20% - 강조색5 2 9" xfId="424" xr:uid="{00000000-0005-0000-0000-0000A0010000}"/>
    <cellStyle name="20% - 강조색5 2 9 2" xfId="425" xr:uid="{00000000-0005-0000-0000-0000A1010000}"/>
    <cellStyle name="20% - 강조색5 2 9 3" xfId="426" xr:uid="{00000000-0005-0000-0000-0000A2010000}"/>
    <cellStyle name="20% - 강조색5 2 9 4" xfId="427" xr:uid="{00000000-0005-0000-0000-0000A3010000}"/>
    <cellStyle name="20% - 강조색5 2 9 5" xfId="428" xr:uid="{00000000-0005-0000-0000-0000A4010000}"/>
    <cellStyle name="20% - 강조색5 2 9 6" xfId="429" xr:uid="{00000000-0005-0000-0000-0000A5010000}"/>
    <cellStyle name="20% - 강조색6 2" xfId="430" xr:uid="{00000000-0005-0000-0000-0000A6010000}"/>
    <cellStyle name="20% - 강조색6 2 10" xfId="431" xr:uid="{00000000-0005-0000-0000-0000A7010000}"/>
    <cellStyle name="20% - 강조색6 2 10 2" xfId="432" xr:uid="{00000000-0005-0000-0000-0000A8010000}"/>
    <cellStyle name="20% - 강조색6 2 10 3" xfId="433" xr:uid="{00000000-0005-0000-0000-0000A9010000}"/>
    <cellStyle name="20% - 강조색6 2 10 4" xfId="434" xr:uid="{00000000-0005-0000-0000-0000AA010000}"/>
    <cellStyle name="20% - 강조색6 2 10 5" xfId="435" xr:uid="{00000000-0005-0000-0000-0000AB010000}"/>
    <cellStyle name="20% - 강조색6 2 10 6" xfId="436" xr:uid="{00000000-0005-0000-0000-0000AC010000}"/>
    <cellStyle name="20% - 강조색6 2 11" xfId="437" xr:uid="{00000000-0005-0000-0000-0000AD010000}"/>
    <cellStyle name="20% - 강조색6 2 11 2" xfId="438" xr:uid="{00000000-0005-0000-0000-0000AE010000}"/>
    <cellStyle name="20% - 강조색6 2 11 3" xfId="439" xr:uid="{00000000-0005-0000-0000-0000AF010000}"/>
    <cellStyle name="20% - 강조색6 2 11 4" xfId="440" xr:uid="{00000000-0005-0000-0000-0000B0010000}"/>
    <cellStyle name="20% - 강조색6 2 11 5" xfId="441" xr:uid="{00000000-0005-0000-0000-0000B1010000}"/>
    <cellStyle name="20% - 강조색6 2 11 6" xfId="442" xr:uid="{00000000-0005-0000-0000-0000B2010000}"/>
    <cellStyle name="20% - 강조색6 2 12" xfId="443" xr:uid="{00000000-0005-0000-0000-0000B3010000}"/>
    <cellStyle name="20% - 강조색6 2 12 2" xfId="444" xr:uid="{00000000-0005-0000-0000-0000B4010000}"/>
    <cellStyle name="20% - 강조색6 2 12 3" xfId="445" xr:uid="{00000000-0005-0000-0000-0000B5010000}"/>
    <cellStyle name="20% - 강조색6 2 12 4" xfId="446" xr:uid="{00000000-0005-0000-0000-0000B6010000}"/>
    <cellStyle name="20% - 강조색6 2 12 5" xfId="447" xr:uid="{00000000-0005-0000-0000-0000B7010000}"/>
    <cellStyle name="20% - 강조색6 2 12 6" xfId="448" xr:uid="{00000000-0005-0000-0000-0000B8010000}"/>
    <cellStyle name="20% - 강조색6 2 13" xfId="449" xr:uid="{00000000-0005-0000-0000-0000B9010000}"/>
    <cellStyle name="20% - 강조색6 2 13 2" xfId="450" xr:uid="{00000000-0005-0000-0000-0000BA010000}"/>
    <cellStyle name="20% - 강조색6 2 13 3" xfId="451" xr:uid="{00000000-0005-0000-0000-0000BB010000}"/>
    <cellStyle name="20% - 강조색6 2 13 4" xfId="452" xr:uid="{00000000-0005-0000-0000-0000BC010000}"/>
    <cellStyle name="20% - 강조색6 2 13 5" xfId="453" xr:uid="{00000000-0005-0000-0000-0000BD010000}"/>
    <cellStyle name="20% - 강조색6 2 13 6" xfId="454" xr:uid="{00000000-0005-0000-0000-0000BE010000}"/>
    <cellStyle name="20% - 강조색6 2 14" xfId="455" xr:uid="{00000000-0005-0000-0000-0000BF010000}"/>
    <cellStyle name="20% - 강조색6 2 14 2" xfId="456" xr:uid="{00000000-0005-0000-0000-0000C0010000}"/>
    <cellStyle name="20% - 강조색6 2 14 3" xfId="457" xr:uid="{00000000-0005-0000-0000-0000C1010000}"/>
    <cellStyle name="20% - 강조색6 2 14 4" xfId="458" xr:uid="{00000000-0005-0000-0000-0000C2010000}"/>
    <cellStyle name="20% - 강조색6 2 14 5" xfId="459" xr:uid="{00000000-0005-0000-0000-0000C3010000}"/>
    <cellStyle name="20% - 강조색6 2 14 6" xfId="460" xr:uid="{00000000-0005-0000-0000-0000C4010000}"/>
    <cellStyle name="20% - 강조색6 2 15" xfId="461" xr:uid="{00000000-0005-0000-0000-0000C5010000}"/>
    <cellStyle name="20% - 강조색6 2 16" xfId="462" xr:uid="{00000000-0005-0000-0000-0000C6010000}"/>
    <cellStyle name="20% - 강조색6 2 17" xfId="463" xr:uid="{00000000-0005-0000-0000-0000C7010000}"/>
    <cellStyle name="20% - 강조색6 2 18" xfId="464" xr:uid="{00000000-0005-0000-0000-0000C8010000}"/>
    <cellStyle name="20% - 강조색6 2 19" xfId="465" xr:uid="{00000000-0005-0000-0000-0000C9010000}"/>
    <cellStyle name="20% - 강조색6 2 2" xfId="466" xr:uid="{00000000-0005-0000-0000-0000CA010000}"/>
    <cellStyle name="20% - 강조색6 2 2 2" xfId="467" xr:uid="{00000000-0005-0000-0000-0000CB010000}"/>
    <cellStyle name="20% - 강조색6 2 2 3" xfId="468" xr:uid="{00000000-0005-0000-0000-0000CC010000}"/>
    <cellStyle name="20% - 강조색6 2 2 4" xfId="469" xr:uid="{00000000-0005-0000-0000-0000CD010000}"/>
    <cellStyle name="20% - 강조색6 2 2 5" xfId="470" xr:uid="{00000000-0005-0000-0000-0000CE010000}"/>
    <cellStyle name="20% - 강조색6 2 2 6" xfId="471" xr:uid="{00000000-0005-0000-0000-0000CF010000}"/>
    <cellStyle name="20% - 강조색6 2 3" xfId="472" xr:uid="{00000000-0005-0000-0000-0000D0010000}"/>
    <cellStyle name="20% - 강조색6 2 3 2" xfId="473" xr:uid="{00000000-0005-0000-0000-0000D1010000}"/>
    <cellStyle name="20% - 강조색6 2 3 3" xfId="474" xr:uid="{00000000-0005-0000-0000-0000D2010000}"/>
    <cellStyle name="20% - 강조색6 2 3 4" xfId="475" xr:uid="{00000000-0005-0000-0000-0000D3010000}"/>
    <cellStyle name="20% - 강조색6 2 3 5" xfId="476" xr:uid="{00000000-0005-0000-0000-0000D4010000}"/>
    <cellStyle name="20% - 강조색6 2 3 6" xfId="477" xr:uid="{00000000-0005-0000-0000-0000D5010000}"/>
    <cellStyle name="20% - 강조색6 2 4" xfId="478" xr:uid="{00000000-0005-0000-0000-0000D6010000}"/>
    <cellStyle name="20% - 강조색6 2 4 2" xfId="479" xr:uid="{00000000-0005-0000-0000-0000D7010000}"/>
    <cellStyle name="20% - 강조색6 2 4 3" xfId="480" xr:uid="{00000000-0005-0000-0000-0000D8010000}"/>
    <cellStyle name="20% - 강조색6 2 4 4" xfId="481" xr:uid="{00000000-0005-0000-0000-0000D9010000}"/>
    <cellStyle name="20% - 강조색6 2 4 5" xfId="482" xr:uid="{00000000-0005-0000-0000-0000DA010000}"/>
    <cellStyle name="20% - 강조색6 2 4 6" xfId="483" xr:uid="{00000000-0005-0000-0000-0000DB010000}"/>
    <cellStyle name="20% - 강조색6 2 5" xfId="484" xr:uid="{00000000-0005-0000-0000-0000DC010000}"/>
    <cellStyle name="20% - 강조색6 2 5 2" xfId="485" xr:uid="{00000000-0005-0000-0000-0000DD010000}"/>
    <cellStyle name="20% - 강조색6 2 5 3" xfId="486" xr:uid="{00000000-0005-0000-0000-0000DE010000}"/>
    <cellStyle name="20% - 강조색6 2 5 4" xfId="487" xr:uid="{00000000-0005-0000-0000-0000DF010000}"/>
    <cellStyle name="20% - 강조색6 2 5 5" xfId="488" xr:uid="{00000000-0005-0000-0000-0000E0010000}"/>
    <cellStyle name="20% - 강조색6 2 5 6" xfId="489" xr:uid="{00000000-0005-0000-0000-0000E1010000}"/>
    <cellStyle name="20% - 강조색6 2 6" xfId="490" xr:uid="{00000000-0005-0000-0000-0000E2010000}"/>
    <cellStyle name="20% - 강조색6 2 6 2" xfId="491" xr:uid="{00000000-0005-0000-0000-0000E3010000}"/>
    <cellStyle name="20% - 강조색6 2 6 3" xfId="492" xr:uid="{00000000-0005-0000-0000-0000E4010000}"/>
    <cellStyle name="20% - 강조색6 2 6 4" xfId="493" xr:uid="{00000000-0005-0000-0000-0000E5010000}"/>
    <cellStyle name="20% - 강조색6 2 6 5" xfId="494" xr:uid="{00000000-0005-0000-0000-0000E6010000}"/>
    <cellStyle name="20% - 강조색6 2 6 6" xfId="495" xr:uid="{00000000-0005-0000-0000-0000E7010000}"/>
    <cellStyle name="20% - 강조색6 2 7" xfId="496" xr:uid="{00000000-0005-0000-0000-0000E8010000}"/>
    <cellStyle name="20% - 강조색6 2 7 2" xfId="497" xr:uid="{00000000-0005-0000-0000-0000E9010000}"/>
    <cellStyle name="20% - 강조색6 2 7 3" xfId="498" xr:uid="{00000000-0005-0000-0000-0000EA010000}"/>
    <cellStyle name="20% - 강조색6 2 7 4" xfId="499" xr:uid="{00000000-0005-0000-0000-0000EB010000}"/>
    <cellStyle name="20% - 강조색6 2 7 5" xfId="500" xr:uid="{00000000-0005-0000-0000-0000EC010000}"/>
    <cellStyle name="20% - 강조색6 2 7 6" xfId="501" xr:uid="{00000000-0005-0000-0000-0000ED010000}"/>
    <cellStyle name="20% - 강조색6 2 8" xfId="502" xr:uid="{00000000-0005-0000-0000-0000EE010000}"/>
    <cellStyle name="20% - 강조색6 2 8 2" xfId="503" xr:uid="{00000000-0005-0000-0000-0000EF010000}"/>
    <cellStyle name="20% - 강조색6 2 8 3" xfId="504" xr:uid="{00000000-0005-0000-0000-0000F0010000}"/>
    <cellStyle name="20% - 강조색6 2 8 4" xfId="505" xr:uid="{00000000-0005-0000-0000-0000F1010000}"/>
    <cellStyle name="20% - 강조색6 2 8 5" xfId="506" xr:uid="{00000000-0005-0000-0000-0000F2010000}"/>
    <cellStyle name="20% - 강조색6 2 8 6" xfId="507" xr:uid="{00000000-0005-0000-0000-0000F3010000}"/>
    <cellStyle name="20% - 강조색6 2 9" xfId="508" xr:uid="{00000000-0005-0000-0000-0000F4010000}"/>
    <cellStyle name="20% - 강조색6 2 9 2" xfId="509" xr:uid="{00000000-0005-0000-0000-0000F5010000}"/>
    <cellStyle name="20% - 강조색6 2 9 3" xfId="510" xr:uid="{00000000-0005-0000-0000-0000F6010000}"/>
    <cellStyle name="20% - 강조색6 2 9 4" xfId="511" xr:uid="{00000000-0005-0000-0000-0000F7010000}"/>
    <cellStyle name="20% - 강조색6 2 9 5" xfId="512" xr:uid="{00000000-0005-0000-0000-0000F8010000}"/>
    <cellStyle name="20% - 강조색6 2 9 6" xfId="513" xr:uid="{00000000-0005-0000-0000-0000F9010000}"/>
    <cellStyle name="40% - 강조색1 2" xfId="514" xr:uid="{00000000-0005-0000-0000-0000FA010000}"/>
    <cellStyle name="40% - 강조색1 2 10" xfId="515" xr:uid="{00000000-0005-0000-0000-0000FB010000}"/>
    <cellStyle name="40% - 강조색1 2 10 2" xfId="516" xr:uid="{00000000-0005-0000-0000-0000FC010000}"/>
    <cellStyle name="40% - 강조색1 2 10 3" xfId="517" xr:uid="{00000000-0005-0000-0000-0000FD010000}"/>
    <cellStyle name="40% - 강조색1 2 10 4" xfId="518" xr:uid="{00000000-0005-0000-0000-0000FE010000}"/>
    <cellStyle name="40% - 강조색1 2 10 5" xfId="519" xr:uid="{00000000-0005-0000-0000-0000FF010000}"/>
    <cellStyle name="40% - 강조색1 2 10 6" xfId="520" xr:uid="{00000000-0005-0000-0000-000000020000}"/>
    <cellStyle name="40% - 강조색1 2 11" xfId="521" xr:uid="{00000000-0005-0000-0000-000001020000}"/>
    <cellStyle name="40% - 강조색1 2 11 2" xfId="522" xr:uid="{00000000-0005-0000-0000-000002020000}"/>
    <cellStyle name="40% - 강조색1 2 11 3" xfId="523" xr:uid="{00000000-0005-0000-0000-000003020000}"/>
    <cellStyle name="40% - 강조색1 2 11 4" xfId="524" xr:uid="{00000000-0005-0000-0000-000004020000}"/>
    <cellStyle name="40% - 강조색1 2 11 5" xfId="525" xr:uid="{00000000-0005-0000-0000-000005020000}"/>
    <cellStyle name="40% - 강조색1 2 11 6" xfId="526" xr:uid="{00000000-0005-0000-0000-000006020000}"/>
    <cellStyle name="40% - 강조색1 2 12" xfId="527" xr:uid="{00000000-0005-0000-0000-000007020000}"/>
    <cellStyle name="40% - 강조색1 2 12 2" xfId="528" xr:uid="{00000000-0005-0000-0000-000008020000}"/>
    <cellStyle name="40% - 강조색1 2 12 3" xfId="529" xr:uid="{00000000-0005-0000-0000-000009020000}"/>
    <cellStyle name="40% - 강조색1 2 12 4" xfId="530" xr:uid="{00000000-0005-0000-0000-00000A020000}"/>
    <cellStyle name="40% - 강조색1 2 12 5" xfId="531" xr:uid="{00000000-0005-0000-0000-00000B020000}"/>
    <cellStyle name="40% - 강조색1 2 12 6" xfId="532" xr:uid="{00000000-0005-0000-0000-00000C020000}"/>
    <cellStyle name="40% - 강조색1 2 13" xfId="533" xr:uid="{00000000-0005-0000-0000-00000D020000}"/>
    <cellStyle name="40% - 강조색1 2 13 2" xfId="534" xr:uid="{00000000-0005-0000-0000-00000E020000}"/>
    <cellStyle name="40% - 강조색1 2 13 3" xfId="535" xr:uid="{00000000-0005-0000-0000-00000F020000}"/>
    <cellStyle name="40% - 강조색1 2 13 4" xfId="536" xr:uid="{00000000-0005-0000-0000-000010020000}"/>
    <cellStyle name="40% - 강조색1 2 13 5" xfId="537" xr:uid="{00000000-0005-0000-0000-000011020000}"/>
    <cellStyle name="40% - 강조색1 2 13 6" xfId="538" xr:uid="{00000000-0005-0000-0000-000012020000}"/>
    <cellStyle name="40% - 강조색1 2 14" xfId="539" xr:uid="{00000000-0005-0000-0000-000013020000}"/>
    <cellStyle name="40% - 강조색1 2 14 2" xfId="540" xr:uid="{00000000-0005-0000-0000-000014020000}"/>
    <cellStyle name="40% - 강조색1 2 14 3" xfId="541" xr:uid="{00000000-0005-0000-0000-000015020000}"/>
    <cellStyle name="40% - 강조색1 2 14 4" xfId="542" xr:uid="{00000000-0005-0000-0000-000016020000}"/>
    <cellStyle name="40% - 강조색1 2 14 5" xfId="543" xr:uid="{00000000-0005-0000-0000-000017020000}"/>
    <cellStyle name="40% - 강조색1 2 14 6" xfId="544" xr:uid="{00000000-0005-0000-0000-000018020000}"/>
    <cellStyle name="40% - 강조색1 2 15" xfId="545" xr:uid="{00000000-0005-0000-0000-000019020000}"/>
    <cellStyle name="40% - 강조색1 2 16" xfId="546" xr:uid="{00000000-0005-0000-0000-00001A020000}"/>
    <cellStyle name="40% - 강조색1 2 17" xfId="547" xr:uid="{00000000-0005-0000-0000-00001B020000}"/>
    <cellStyle name="40% - 강조색1 2 18" xfId="548" xr:uid="{00000000-0005-0000-0000-00001C020000}"/>
    <cellStyle name="40% - 강조색1 2 19" xfId="549" xr:uid="{00000000-0005-0000-0000-00001D020000}"/>
    <cellStyle name="40% - 강조색1 2 2" xfId="550" xr:uid="{00000000-0005-0000-0000-00001E020000}"/>
    <cellStyle name="40% - 강조색1 2 2 2" xfId="551" xr:uid="{00000000-0005-0000-0000-00001F020000}"/>
    <cellStyle name="40% - 강조색1 2 2 3" xfId="552" xr:uid="{00000000-0005-0000-0000-000020020000}"/>
    <cellStyle name="40% - 강조색1 2 2 4" xfId="553" xr:uid="{00000000-0005-0000-0000-000021020000}"/>
    <cellStyle name="40% - 강조색1 2 2 5" xfId="554" xr:uid="{00000000-0005-0000-0000-000022020000}"/>
    <cellStyle name="40% - 강조색1 2 2 6" xfId="555" xr:uid="{00000000-0005-0000-0000-000023020000}"/>
    <cellStyle name="40% - 강조색1 2 3" xfId="556" xr:uid="{00000000-0005-0000-0000-000024020000}"/>
    <cellStyle name="40% - 강조색1 2 3 2" xfId="557" xr:uid="{00000000-0005-0000-0000-000025020000}"/>
    <cellStyle name="40% - 강조색1 2 3 3" xfId="558" xr:uid="{00000000-0005-0000-0000-000026020000}"/>
    <cellStyle name="40% - 강조색1 2 3 4" xfId="559" xr:uid="{00000000-0005-0000-0000-000027020000}"/>
    <cellStyle name="40% - 강조색1 2 3 5" xfId="560" xr:uid="{00000000-0005-0000-0000-000028020000}"/>
    <cellStyle name="40% - 강조색1 2 3 6" xfId="561" xr:uid="{00000000-0005-0000-0000-000029020000}"/>
    <cellStyle name="40% - 강조색1 2 4" xfId="562" xr:uid="{00000000-0005-0000-0000-00002A020000}"/>
    <cellStyle name="40% - 강조색1 2 4 2" xfId="563" xr:uid="{00000000-0005-0000-0000-00002B020000}"/>
    <cellStyle name="40% - 강조색1 2 4 3" xfId="564" xr:uid="{00000000-0005-0000-0000-00002C020000}"/>
    <cellStyle name="40% - 강조색1 2 4 4" xfId="565" xr:uid="{00000000-0005-0000-0000-00002D020000}"/>
    <cellStyle name="40% - 강조색1 2 4 5" xfId="566" xr:uid="{00000000-0005-0000-0000-00002E020000}"/>
    <cellStyle name="40% - 강조색1 2 4 6" xfId="567" xr:uid="{00000000-0005-0000-0000-00002F020000}"/>
    <cellStyle name="40% - 강조색1 2 5" xfId="568" xr:uid="{00000000-0005-0000-0000-000030020000}"/>
    <cellStyle name="40% - 강조색1 2 5 2" xfId="569" xr:uid="{00000000-0005-0000-0000-000031020000}"/>
    <cellStyle name="40% - 강조색1 2 5 3" xfId="570" xr:uid="{00000000-0005-0000-0000-000032020000}"/>
    <cellStyle name="40% - 강조색1 2 5 4" xfId="571" xr:uid="{00000000-0005-0000-0000-000033020000}"/>
    <cellStyle name="40% - 강조색1 2 5 5" xfId="572" xr:uid="{00000000-0005-0000-0000-000034020000}"/>
    <cellStyle name="40% - 강조색1 2 5 6" xfId="573" xr:uid="{00000000-0005-0000-0000-000035020000}"/>
    <cellStyle name="40% - 강조색1 2 6" xfId="574" xr:uid="{00000000-0005-0000-0000-000036020000}"/>
    <cellStyle name="40% - 강조색1 2 6 2" xfId="575" xr:uid="{00000000-0005-0000-0000-000037020000}"/>
    <cellStyle name="40% - 강조색1 2 6 3" xfId="576" xr:uid="{00000000-0005-0000-0000-000038020000}"/>
    <cellStyle name="40% - 강조색1 2 6 4" xfId="577" xr:uid="{00000000-0005-0000-0000-000039020000}"/>
    <cellStyle name="40% - 강조색1 2 6 5" xfId="578" xr:uid="{00000000-0005-0000-0000-00003A020000}"/>
    <cellStyle name="40% - 강조색1 2 6 6" xfId="579" xr:uid="{00000000-0005-0000-0000-00003B020000}"/>
    <cellStyle name="40% - 강조색1 2 7" xfId="580" xr:uid="{00000000-0005-0000-0000-00003C020000}"/>
    <cellStyle name="40% - 강조색1 2 7 2" xfId="581" xr:uid="{00000000-0005-0000-0000-00003D020000}"/>
    <cellStyle name="40% - 강조색1 2 7 3" xfId="582" xr:uid="{00000000-0005-0000-0000-00003E020000}"/>
    <cellStyle name="40% - 강조색1 2 7 4" xfId="583" xr:uid="{00000000-0005-0000-0000-00003F020000}"/>
    <cellStyle name="40% - 강조색1 2 7 5" xfId="584" xr:uid="{00000000-0005-0000-0000-000040020000}"/>
    <cellStyle name="40% - 강조색1 2 7 6" xfId="585" xr:uid="{00000000-0005-0000-0000-000041020000}"/>
    <cellStyle name="40% - 강조색1 2 8" xfId="586" xr:uid="{00000000-0005-0000-0000-000042020000}"/>
    <cellStyle name="40% - 강조색1 2 8 2" xfId="587" xr:uid="{00000000-0005-0000-0000-000043020000}"/>
    <cellStyle name="40% - 강조색1 2 8 3" xfId="588" xr:uid="{00000000-0005-0000-0000-000044020000}"/>
    <cellStyle name="40% - 강조색1 2 8 4" xfId="589" xr:uid="{00000000-0005-0000-0000-000045020000}"/>
    <cellStyle name="40% - 강조색1 2 8 5" xfId="590" xr:uid="{00000000-0005-0000-0000-000046020000}"/>
    <cellStyle name="40% - 강조색1 2 8 6" xfId="591" xr:uid="{00000000-0005-0000-0000-000047020000}"/>
    <cellStyle name="40% - 강조색1 2 9" xfId="592" xr:uid="{00000000-0005-0000-0000-000048020000}"/>
    <cellStyle name="40% - 강조색1 2 9 2" xfId="593" xr:uid="{00000000-0005-0000-0000-000049020000}"/>
    <cellStyle name="40% - 강조색1 2 9 3" xfId="594" xr:uid="{00000000-0005-0000-0000-00004A020000}"/>
    <cellStyle name="40% - 강조색1 2 9 4" xfId="595" xr:uid="{00000000-0005-0000-0000-00004B020000}"/>
    <cellStyle name="40% - 강조색1 2 9 5" xfId="596" xr:uid="{00000000-0005-0000-0000-00004C020000}"/>
    <cellStyle name="40% - 강조색1 2 9 6" xfId="597" xr:uid="{00000000-0005-0000-0000-00004D020000}"/>
    <cellStyle name="40% - 강조색2 2" xfId="598" xr:uid="{00000000-0005-0000-0000-00004E020000}"/>
    <cellStyle name="40% - 강조색2 2 10" xfId="599" xr:uid="{00000000-0005-0000-0000-00004F020000}"/>
    <cellStyle name="40% - 강조색2 2 10 2" xfId="600" xr:uid="{00000000-0005-0000-0000-000050020000}"/>
    <cellStyle name="40% - 강조색2 2 10 3" xfId="601" xr:uid="{00000000-0005-0000-0000-000051020000}"/>
    <cellStyle name="40% - 강조색2 2 10 4" xfId="602" xr:uid="{00000000-0005-0000-0000-000052020000}"/>
    <cellStyle name="40% - 강조색2 2 10 5" xfId="603" xr:uid="{00000000-0005-0000-0000-000053020000}"/>
    <cellStyle name="40% - 강조색2 2 10 6" xfId="604" xr:uid="{00000000-0005-0000-0000-000054020000}"/>
    <cellStyle name="40% - 강조색2 2 11" xfId="605" xr:uid="{00000000-0005-0000-0000-000055020000}"/>
    <cellStyle name="40% - 강조색2 2 11 2" xfId="606" xr:uid="{00000000-0005-0000-0000-000056020000}"/>
    <cellStyle name="40% - 강조색2 2 11 3" xfId="607" xr:uid="{00000000-0005-0000-0000-000057020000}"/>
    <cellStyle name="40% - 강조색2 2 11 4" xfId="608" xr:uid="{00000000-0005-0000-0000-000058020000}"/>
    <cellStyle name="40% - 강조색2 2 11 5" xfId="609" xr:uid="{00000000-0005-0000-0000-000059020000}"/>
    <cellStyle name="40% - 강조색2 2 11 6" xfId="610" xr:uid="{00000000-0005-0000-0000-00005A020000}"/>
    <cellStyle name="40% - 강조색2 2 12" xfId="611" xr:uid="{00000000-0005-0000-0000-00005B020000}"/>
    <cellStyle name="40% - 강조색2 2 12 2" xfId="612" xr:uid="{00000000-0005-0000-0000-00005C020000}"/>
    <cellStyle name="40% - 강조색2 2 12 3" xfId="613" xr:uid="{00000000-0005-0000-0000-00005D020000}"/>
    <cellStyle name="40% - 강조색2 2 12 4" xfId="614" xr:uid="{00000000-0005-0000-0000-00005E020000}"/>
    <cellStyle name="40% - 강조색2 2 12 5" xfId="615" xr:uid="{00000000-0005-0000-0000-00005F020000}"/>
    <cellStyle name="40% - 강조색2 2 12 6" xfId="616" xr:uid="{00000000-0005-0000-0000-000060020000}"/>
    <cellStyle name="40% - 강조색2 2 13" xfId="617" xr:uid="{00000000-0005-0000-0000-000061020000}"/>
    <cellStyle name="40% - 강조색2 2 13 2" xfId="618" xr:uid="{00000000-0005-0000-0000-000062020000}"/>
    <cellStyle name="40% - 강조색2 2 13 3" xfId="619" xr:uid="{00000000-0005-0000-0000-000063020000}"/>
    <cellStyle name="40% - 강조색2 2 13 4" xfId="620" xr:uid="{00000000-0005-0000-0000-000064020000}"/>
    <cellStyle name="40% - 강조색2 2 13 5" xfId="621" xr:uid="{00000000-0005-0000-0000-000065020000}"/>
    <cellStyle name="40% - 강조색2 2 13 6" xfId="622" xr:uid="{00000000-0005-0000-0000-000066020000}"/>
    <cellStyle name="40% - 강조색2 2 14" xfId="623" xr:uid="{00000000-0005-0000-0000-000067020000}"/>
    <cellStyle name="40% - 강조색2 2 14 2" xfId="624" xr:uid="{00000000-0005-0000-0000-000068020000}"/>
    <cellStyle name="40% - 강조색2 2 14 3" xfId="625" xr:uid="{00000000-0005-0000-0000-000069020000}"/>
    <cellStyle name="40% - 강조색2 2 14 4" xfId="626" xr:uid="{00000000-0005-0000-0000-00006A020000}"/>
    <cellStyle name="40% - 강조색2 2 14 5" xfId="627" xr:uid="{00000000-0005-0000-0000-00006B020000}"/>
    <cellStyle name="40% - 강조색2 2 14 6" xfId="628" xr:uid="{00000000-0005-0000-0000-00006C020000}"/>
    <cellStyle name="40% - 강조색2 2 15" xfId="629" xr:uid="{00000000-0005-0000-0000-00006D020000}"/>
    <cellStyle name="40% - 강조색2 2 16" xfId="630" xr:uid="{00000000-0005-0000-0000-00006E020000}"/>
    <cellStyle name="40% - 강조색2 2 17" xfId="631" xr:uid="{00000000-0005-0000-0000-00006F020000}"/>
    <cellStyle name="40% - 강조색2 2 18" xfId="632" xr:uid="{00000000-0005-0000-0000-000070020000}"/>
    <cellStyle name="40% - 강조색2 2 19" xfId="633" xr:uid="{00000000-0005-0000-0000-000071020000}"/>
    <cellStyle name="40% - 강조색2 2 2" xfId="634" xr:uid="{00000000-0005-0000-0000-000072020000}"/>
    <cellStyle name="40% - 강조색2 2 2 2" xfId="635" xr:uid="{00000000-0005-0000-0000-000073020000}"/>
    <cellStyle name="40% - 강조색2 2 2 3" xfId="636" xr:uid="{00000000-0005-0000-0000-000074020000}"/>
    <cellStyle name="40% - 강조색2 2 2 4" xfId="637" xr:uid="{00000000-0005-0000-0000-000075020000}"/>
    <cellStyle name="40% - 강조색2 2 2 5" xfId="638" xr:uid="{00000000-0005-0000-0000-000076020000}"/>
    <cellStyle name="40% - 강조색2 2 2 6" xfId="639" xr:uid="{00000000-0005-0000-0000-000077020000}"/>
    <cellStyle name="40% - 강조색2 2 3" xfId="640" xr:uid="{00000000-0005-0000-0000-000078020000}"/>
    <cellStyle name="40% - 강조색2 2 3 2" xfId="641" xr:uid="{00000000-0005-0000-0000-000079020000}"/>
    <cellStyle name="40% - 강조색2 2 3 3" xfId="642" xr:uid="{00000000-0005-0000-0000-00007A020000}"/>
    <cellStyle name="40% - 강조색2 2 3 4" xfId="643" xr:uid="{00000000-0005-0000-0000-00007B020000}"/>
    <cellStyle name="40% - 강조색2 2 3 5" xfId="644" xr:uid="{00000000-0005-0000-0000-00007C020000}"/>
    <cellStyle name="40% - 강조색2 2 3 6" xfId="645" xr:uid="{00000000-0005-0000-0000-00007D020000}"/>
    <cellStyle name="40% - 강조색2 2 4" xfId="646" xr:uid="{00000000-0005-0000-0000-00007E020000}"/>
    <cellStyle name="40% - 강조색2 2 4 2" xfId="647" xr:uid="{00000000-0005-0000-0000-00007F020000}"/>
    <cellStyle name="40% - 강조색2 2 4 3" xfId="648" xr:uid="{00000000-0005-0000-0000-000080020000}"/>
    <cellStyle name="40% - 강조색2 2 4 4" xfId="649" xr:uid="{00000000-0005-0000-0000-000081020000}"/>
    <cellStyle name="40% - 강조색2 2 4 5" xfId="650" xr:uid="{00000000-0005-0000-0000-000082020000}"/>
    <cellStyle name="40% - 강조색2 2 4 6" xfId="651" xr:uid="{00000000-0005-0000-0000-000083020000}"/>
    <cellStyle name="40% - 강조색2 2 5" xfId="652" xr:uid="{00000000-0005-0000-0000-000084020000}"/>
    <cellStyle name="40% - 강조색2 2 5 2" xfId="653" xr:uid="{00000000-0005-0000-0000-000085020000}"/>
    <cellStyle name="40% - 강조색2 2 5 3" xfId="654" xr:uid="{00000000-0005-0000-0000-000086020000}"/>
    <cellStyle name="40% - 강조색2 2 5 4" xfId="655" xr:uid="{00000000-0005-0000-0000-000087020000}"/>
    <cellStyle name="40% - 강조색2 2 5 5" xfId="656" xr:uid="{00000000-0005-0000-0000-000088020000}"/>
    <cellStyle name="40% - 강조색2 2 5 6" xfId="657" xr:uid="{00000000-0005-0000-0000-000089020000}"/>
    <cellStyle name="40% - 강조색2 2 6" xfId="658" xr:uid="{00000000-0005-0000-0000-00008A020000}"/>
    <cellStyle name="40% - 강조색2 2 6 2" xfId="659" xr:uid="{00000000-0005-0000-0000-00008B020000}"/>
    <cellStyle name="40% - 강조색2 2 6 3" xfId="660" xr:uid="{00000000-0005-0000-0000-00008C020000}"/>
    <cellStyle name="40% - 강조색2 2 6 4" xfId="661" xr:uid="{00000000-0005-0000-0000-00008D020000}"/>
    <cellStyle name="40% - 강조색2 2 6 5" xfId="662" xr:uid="{00000000-0005-0000-0000-00008E020000}"/>
    <cellStyle name="40% - 강조색2 2 6 6" xfId="663" xr:uid="{00000000-0005-0000-0000-00008F020000}"/>
    <cellStyle name="40% - 강조색2 2 7" xfId="664" xr:uid="{00000000-0005-0000-0000-000090020000}"/>
    <cellStyle name="40% - 강조색2 2 7 2" xfId="665" xr:uid="{00000000-0005-0000-0000-000091020000}"/>
    <cellStyle name="40% - 강조색2 2 7 3" xfId="666" xr:uid="{00000000-0005-0000-0000-000092020000}"/>
    <cellStyle name="40% - 강조색2 2 7 4" xfId="667" xr:uid="{00000000-0005-0000-0000-000093020000}"/>
    <cellStyle name="40% - 강조색2 2 7 5" xfId="668" xr:uid="{00000000-0005-0000-0000-000094020000}"/>
    <cellStyle name="40% - 강조색2 2 7 6" xfId="669" xr:uid="{00000000-0005-0000-0000-000095020000}"/>
    <cellStyle name="40% - 강조색2 2 8" xfId="670" xr:uid="{00000000-0005-0000-0000-000096020000}"/>
    <cellStyle name="40% - 강조색2 2 8 2" xfId="671" xr:uid="{00000000-0005-0000-0000-000097020000}"/>
    <cellStyle name="40% - 강조색2 2 8 3" xfId="672" xr:uid="{00000000-0005-0000-0000-000098020000}"/>
    <cellStyle name="40% - 강조색2 2 8 4" xfId="673" xr:uid="{00000000-0005-0000-0000-000099020000}"/>
    <cellStyle name="40% - 강조색2 2 8 5" xfId="674" xr:uid="{00000000-0005-0000-0000-00009A020000}"/>
    <cellStyle name="40% - 강조색2 2 8 6" xfId="675" xr:uid="{00000000-0005-0000-0000-00009B020000}"/>
    <cellStyle name="40% - 강조색2 2 9" xfId="676" xr:uid="{00000000-0005-0000-0000-00009C020000}"/>
    <cellStyle name="40% - 강조색2 2 9 2" xfId="677" xr:uid="{00000000-0005-0000-0000-00009D020000}"/>
    <cellStyle name="40% - 강조색2 2 9 3" xfId="678" xr:uid="{00000000-0005-0000-0000-00009E020000}"/>
    <cellStyle name="40% - 강조색2 2 9 4" xfId="679" xr:uid="{00000000-0005-0000-0000-00009F020000}"/>
    <cellStyle name="40% - 강조색2 2 9 5" xfId="680" xr:uid="{00000000-0005-0000-0000-0000A0020000}"/>
    <cellStyle name="40% - 강조색2 2 9 6" xfId="681" xr:uid="{00000000-0005-0000-0000-0000A1020000}"/>
    <cellStyle name="40% - 강조색3 2" xfId="682" xr:uid="{00000000-0005-0000-0000-0000A2020000}"/>
    <cellStyle name="40% - 강조색3 2 10" xfId="683" xr:uid="{00000000-0005-0000-0000-0000A3020000}"/>
    <cellStyle name="40% - 강조색3 2 10 2" xfId="684" xr:uid="{00000000-0005-0000-0000-0000A4020000}"/>
    <cellStyle name="40% - 강조색3 2 10 3" xfId="685" xr:uid="{00000000-0005-0000-0000-0000A5020000}"/>
    <cellStyle name="40% - 강조색3 2 10 4" xfId="686" xr:uid="{00000000-0005-0000-0000-0000A6020000}"/>
    <cellStyle name="40% - 강조색3 2 10 5" xfId="687" xr:uid="{00000000-0005-0000-0000-0000A7020000}"/>
    <cellStyle name="40% - 강조색3 2 10 6" xfId="688" xr:uid="{00000000-0005-0000-0000-0000A8020000}"/>
    <cellStyle name="40% - 강조색3 2 11" xfId="689" xr:uid="{00000000-0005-0000-0000-0000A9020000}"/>
    <cellStyle name="40% - 강조색3 2 11 2" xfId="690" xr:uid="{00000000-0005-0000-0000-0000AA020000}"/>
    <cellStyle name="40% - 강조색3 2 11 3" xfId="691" xr:uid="{00000000-0005-0000-0000-0000AB020000}"/>
    <cellStyle name="40% - 강조색3 2 11 4" xfId="692" xr:uid="{00000000-0005-0000-0000-0000AC020000}"/>
    <cellStyle name="40% - 강조색3 2 11 5" xfId="693" xr:uid="{00000000-0005-0000-0000-0000AD020000}"/>
    <cellStyle name="40% - 강조색3 2 11 6" xfId="694" xr:uid="{00000000-0005-0000-0000-0000AE020000}"/>
    <cellStyle name="40% - 강조색3 2 12" xfId="695" xr:uid="{00000000-0005-0000-0000-0000AF020000}"/>
    <cellStyle name="40% - 강조색3 2 12 2" xfId="696" xr:uid="{00000000-0005-0000-0000-0000B0020000}"/>
    <cellStyle name="40% - 강조색3 2 12 3" xfId="697" xr:uid="{00000000-0005-0000-0000-0000B1020000}"/>
    <cellStyle name="40% - 강조색3 2 12 4" xfId="698" xr:uid="{00000000-0005-0000-0000-0000B2020000}"/>
    <cellStyle name="40% - 강조색3 2 12 5" xfId="699" xr:uid="{00000000-0005-0000-0000-0000B3020000}"/>
    <cellStyle name="40% - 강조색3 2 12 6" xfId="700" xr:uid="{00000000-0005-0000-0000-0000B4020000}"/>
    <cellStyle name="40% - 강조색3 2 13" xfId="701" xr:uid="{00000000-0005-0000-0000-0000B5020000}"/>
    <cellStyle name="40% - 강조색3 2 13 2" xfId="702" xr:uid="{00000000-0005-0000-0000-0000B6020000}"/>
    <cellStyle name="40% - 강조색3 2 13 3" xfId="703" xr:uid="{00000000-0005-0000-0000-0000B7020000}"/>
    <cellStyle name="40% - 강조색3 2 13 4" xfId="704" xr:uid="{00000000-0005-0000-0000-0000B8020000}"/>
    <cellStyle name="40% - 강조색3 2 13 5" xfId="705" xr:uid="{00000000-0005-0000-0000-0000B9020000}"/>
    <cellStyle name="40% - 강조색3 2 13 6" xfId="706" xr:uid="{00000000-0005-0000-0000-0000BA020000}"/>
    <cellStyle name="40% - 강조색3 2 14" xfId="707" xr:uid="{00000000-0005-0000-0000-0000BB020000}"/>
    <cellStyle name="40% - 강조색3 2 14 2" xfId="708" xr:uid="{00000000-0005-0000-0000-0000BC020000}"/>
    <cellStyle name="40% - 강조색3 2 14 3" xfId="709" xr:uid="{00000000-0005-0000-0000-0000BD020000}"/>
    <cellStyle name="40% - 강조색3 2 14 4" xfId="710" xr:uid="{00000000-0005-0000-0000-0000BE020000}"/>
    <cellStyle name="40% - 강조색3 2 14 5" xfId="711" xr:uid="{00000000-0005-0000-0000-0000BF020000}"/>
    <cellStyle name="40% - 강조색3 2 14 6" xfId="712" xr:uid="{00000000-0005-0000-0000-0000C0020000}"/>
    <cellStyle name="40% - 강조색3 2 15" xfId="713" xr:uid="{00000000-0005-0000-0000-0000C1020000}"/>
    <cellStyle name="40% - 강조색3 2 16" xfId="714" xr:uid="{00000000-0005-0000-0000-0000C2020000}"/>
    <cellStyle name="40% - 강조색3 2 17" xfId="715" xr:uid="{00000000-0005-0000-0000-0000C3020000}"/>
    <cellStyle name="40% - 강조색3 2 18" xfId="716" xr:uid="{00000000-0005-0000-0000-0000C4020000}"/>
    <cellStyle name="40% - 강조색3 2 19" xfId="717" xr:uid="{00000000-0005-0000-0000-0000C5020000}"/>
    <cellStyle name="40% - 강조색3 2 2" xfId="718" xr:uid="{00000000-0005-0000-0000-0000C6020000}"/>
    <cellStyle name="40% - 강조색3 2 2 2" xfId="719" xr:uid="{00000000-0005-0000-0000-0000C7020000}"/>
    <cellStyle name="40% - 강조색3 2 2 3" xfId="720" xr:uid="{00000000-0005-0000-0000-0000C8020000}"/>
    <cellStyle name="40% - 강조색3 2 2 4" xfId="721" xr:uid="{00000000-0005-0000-0000-0000C9020000}"/>
    <cellStyle name="40% - 강조색3 2 2 5" xfId="722" xr:uid="{00000000-0005-0000-0000-0000CA020000}"/>
    <cellStyle name="40% - 강조색3 2 2 6" xfId="723" xr:uid="{00000000-0005-0000-0000-0000CB020000}"/>
    <cellStyle name="40% - 강조색3 2 3" xfId="724" xr:uid="{00000000-0005-0000-0000-0000CC020000}"/>
    <cellStyle name="40% - 강조색3 2 3 2" xfId="725" xr:uid="{00000000-0005-0000-0000-0000CD020000}"/>
    <cellStyle name="40% - 강조색3 2 3 3" xfId="726" xr:uid="{00000000-0005-0000-0000-0000CE020000}"/>
    <cellStyle name="40% - 강조색3 2 3 4" xfId="727" xr:uid="{00000000-0005-0000-0000-0000CF020000}"/>
    <cellStyle name="40% - 강조색3 2 3 5" xfId="728" xr:uid="{00000000-0005-0000-0000-0000D0020000}"/>
    <cellStyle name="40% - 강조색3 2 3 6" xfId="729" xr:uid="{00000000-0005-0000-0000-0000D1020000}"/>
    <cellStyle name="40% - 강조색3 2 4" xfId="730" xr:uid="{00000000-0005-0000-0000-0000D2020000}"/>
    <cellStyle name="40% - 강조색3 2 4 2" xfId="731" xr:uid="{00000000-0005-0000-0000-0000D3020000}"/>
    <cellStyle name="40% - 강조색3 2 4 3" xfId="732" xr:uid="{00000000-0005-0000-0000-0000D4020000}"/>
    <cellStyle name="40% - 강조색3 2 4 4" xfId="733" xr:uid="{00000000-0005-0000-0000-0000D5020000}"/>
    <cellStyle name="40% - 강조색3 2 4 5" xfId="734" xr:uid="{00000000-0005-0000-0000-0000D6020000}"/>
    <cellStyle name="40% - 강조색3 2 4 6" xfId="735" xr:uid="{00000000-0005-0000-0000-0000D7020000}"/>
    <cellStyle name="40% - 강조색3 2 5" xfId="736" xr:uid="{00000000-0005-0000-0000-0000D8020000}"/>
    <cellStyle name="40% - 강조색3 2 5 2" xfId="737" xr:uid="{00000000-0005-0000-0000-0000D9020000}"/>
    <cellStyle name="40% - 강조색3 2 5 3" xfId="738" xr:uid="{00000000-0005-0000-0000-0000DA020000}"/>
    <cellStyle name="40% - 강조색3 2 5 4" xfId="739" xr:uid="{00000000-0005-0000-0000-0000DB020000}"/>
    <cellStyle name="40% - 강조색3 2 5 5" xfId="740" xr:uid="{00000000-0005-0000-0000-0000DC020000}"/>
    <cellStyle name="40% - 강조색3 2 5 6" xfId="741" xr:uid="{00000000-0005-0000-0000-0000DD020000}"/>
    <cellStyle name="40% - 강조색3 2 6" xfId="742" xr:uid="{00000000-0005-0000-0000-0000DE020000}"/>
    <cellStyle name="40% - 강조색3 2 6 2" xfId="743" xr:uid="{00000000-0005-0000-0000-0000DF020000}"/>
    <cellStyle name="40% - 강조색3 2 6 3" xfId="744" xr:uid="{00000000-0005-0000-0000-0000E0020000}"/>
    <cellStyle name="40% - 강조색3 2 6 4" xfId="745" xr:uid="{00000000-0005-0000-0000-0000E1020000}"/>
    <cellStyle name="40% - 강조색3 2 6 5" xfId="746" xr:uid="{00000000-0005-0000-0000-0000E2020000}"/>
    <cellStyle name="40% - 강조색3 2 6 6" xfId="747" xr:uid="{00000000-0005-0000-0000-0000E3020000}"/>
    <cellStyle name="40% - 강조색3 2 7" xfId="748" xr:uid="{00000000-0005-0000-0000-0000E4020000}"/>
    <cellStyle name="40% - 강조색3 2 7 2" xfId="749" xr:uid="{00000000-0005-0000-0000-0000E5020000}"/>
    <cellStyle name="40% - 강조색3 2 7 3" xfId="750" xr:uid="{00000000-0005-0000-0000-0000E6020000}"/>
    <cellStyle name="40% - 강조색3 2 7 4" xfId="751" xr:uid="{00000000-0005-0000-0000-0000E7020000}"/>
    <cellStyle name="40% - 강조색3 2 7 5" xfId="752" xr:uid="{00000000-0005-0000-0000-0000E8020000}"/>
    <cellStyle name="40% - 강조색3 2 7 6" xfId="753" xr:uid="{00000000-0005-0000-0000-0000E9020000}"/>
    <cellStyle name="40% - 강조색3 2 8" xfId="754" xr:uid="{00000000-0005-0000-0000-0000EA020000}"/>
    <cellStyle name="40% - 강조색3 2 8 2" xfId="755" xr:uid="{00000000-0005-0000-0000-0000EB020000}"/>
    <cellStyle name="40% - 강조색3 2 8 3" xfId="756" xr:uid="{00000000-0005-0000-0000-0000EC020000}"/>
    <cellStyle name="40% - 강조색3 2 8 4" xfId="757" xr:uid="{00000000-0005-0000-0000-0000ED020000}"/>
    <cellStyle name="40% - 강조색3 2 8 5" xfId="758" xr:uid="{00000000-0005-0000-0000-0000EE020000}"/>
    <cellStyle name="40% - 강조색3 2 8 6" xfId="759" xr:uid="{00000000-0005-0000-0000-0000EF020000}"/>
    <cellStyle name="40% - 강조색3 2 9" xfId="760" xr:uid="{00000000-0005-0000-0000-0000F0020000}"/>
    <cellStyle name="40% - 강조색3 2 9 2" xfId="761" xr:uid="{00000000-0005-0000-0000-0000F1020000}"/>
    <cellStyle name="40% - 강조색3 2 9 3" xfId="762" xr:uid="{00000000-0005-0000-0000-0000F2020000}"/>
    <cellStyle name="40% - 강조색3 2 9 4" xfId="763" xr:uid="{00000000-0005-0000-0000-0000F3020000}"/>
    <cellStyle name="40% - 강조색3 2 9 5" xfId="764" xr:uid="{00000000-0005-0000-0000-0000F4020000}"/>
    <cellStyle name="40% - 강조색3 2 9 6" xfId="765" xr:uid="{00000000-0005-0000-0000-0000F5020000}"/>
    <cellStyle name="40% - 강조색4 2" xfId="766" xr:uid="{00000000-0005-0000-0000-0000F6020000}"/>
    <cellStyle name="40% - 강조색4 2 10" xfId="767" xr:uid="{00000000-0005-0000-0000-0000F7020000}"/>
    <cellStyle name="40% - 강조색4 2 10 2" xfId="768" xr:uid="{00000000-0005-0000-0000-0000F8020000}"/>
    <cellStyle name="40% - 강조색4 2 10 3" xfId="769" xr:uid="{00000000-0005-0000-0000-0000F9020000}"/>
    <cellStyle name="40% - 강조색4 2 10 4" xfId="770" xr:uid="{00000000-0005-0000-0000-0000FA020000}"/>
    <cellStyle name="40% - 강조색4 2 10 5" xfId="771" xr:uid="{00000000-0005-0000-0000-0000FB020000}"/>
    <cellStyle name="40% - 강조색4 2 10 6" xfId="772" xr:uid="{00000000-0005-0000-0000-0000FC020000}"/>
    <cellStyle name="40% - 강조색4 2 11" xfId="773" xr:uid="{00000000-0005-0000-0000-0000FD020000}"/>
    <cellStyle name="40% - 강조색4 2 11 2" xfId="774" xr:uid="{00000000-0005-0000-0000-0000FE020000}"/>
    <cellStyle name="40% - 강조색4 2 11 3" xfId="775" xr:uid="{00000000-0005-0000-0000-0000FF020000}"/>
    <cellStyle name="40% - 강조색4 2 11 4" xfId="776" xr:uid="{00000000-0005-0000-0000-000000030000}"/>
    <cellStyle name="40% - 강조색4 2 11 5" xfId="777" xr:uid="{00000000-0005-0000-0000-000001030000}"/>
    <cellStyle name="40% - 강조색4 2 11 6" xfId="778" xr:uid="{00000000-0005-0000-0000-000002030000}"/>
    <cellStyle name="40% - 강조색4 2 12" xfId="779" xr:uid="{00000000-0005-0000-0000-000003030000}"/>
    <cellStyle name="40% - 강조색4 2 12 2" xfId="780" xr:uid="{00000000-0005-0000-0000-000004030000}"/>
    <cellStyle name="40% - 강조색4 2 12 3" xfId="781" xr:uid="{00000000-0005-0000-0000-000005030000}"/>
    <cellStyle name="40% - 강조색4 2 12 4" xfId="782" xr:uid="{00000000-0005-0000-0000-000006030000}"/>
    <cellStyle name="40% - 강조색4 2 12 5" xfId="783" xr:uid="{00000000-0005-0000-0000-000007030000}"/>
    <cellStyle name="40% - 강조색4 2 12 6" xfId="784" xr:uid="{00000000-0005-0000-0000-000008030000}"/>
    <cellStyle name="40% - 강조색4 2 13" xfId="785" xr:uid="{00000000-0005-0000-0000-000009030000}"/>
    <cellStyle name="40% - 강조색4 2 13 2" xfId="786" xr:uid="{00000000-0005-0000-0000-00000A030000}"/>
    <cellStyle name="40% - 강조색4 2 13 3" xfId="787" xr:uid="{00000000-0005-0000-0000-00000B030000}"/>
    <cellStyle name="40% - 강조색4 2 13 4" xfId="788" xr:uid="{00000000-0005-0000-0000-00000C030000}"/>
    <cellStyle name="40% - 강조색4 2 13 5" xfId="789" xr:uid="{00000000-0005-0000-0000-00000D030000}"/>
    <cellStyle name="40% - 강조색4 2 13 6" xfId="790" xr:uid="{00000000-0005-0000-0000-00000E030000}"/>
    <cellStyle name="40% - 강조색4 2 14" xfId="791" xr:uid="{00000000-0005-0000-0000-00000F030000}"/>
    <cellStyle name="40% - 강조색4 2 14 2" xfId="792" xr:uid="{00000000-0005-0000-0000-000010030000}"/>
    <cellStyle name="40% - 강조색4 2 14 3" xfId="793" xr:uid="{00000000-0005-0000-0000-000011030000}"/>
    <cellStyle name="40% - 강조색4 2 14 4" xfId="794" xr:uid="{00000000-0005-0000-0000-000012030000}"/>
    <cellStyle name="40% - 강조색4 2 14 5" xfId="795" xr:uid="{00000000-0005-0000-0000-000013030000}"/>
    <cellStyle name="40% - 강조색4 2 14 6" xfId="796" xr:uid="{00000000-0005-0000-0000-000014030000}"/>
    <cellStyle name="40% - 강조색4 2 15" xfId="797" xr:uid="{00000000-0005-0000-0000-000015030000}"/>
    <cellStyle name="40% - 강조색4 2 16" xfId="798" xr:uid="{00000000-0005-0000-0000-000016030000}"/>
    <cellStyle name="40% - 강조색4 2 17" xfId="799" xr:uid="{00000000-0005-0000-0000-000017030000}"/>
    <cellStyle name="40% - 강조색4 2 18" xfId="800" xr:uid="{00000000-0005-0000-0000-000018030000}"/>
    <cellStyle name="40% - 강조색4 2 19" xfId="801" xr:uid="{00000000-0005-0000-0000-000019030000}"/>
    <cellStyle name="40% - 강조색4 2 2" xfId="802" xr:uid="{00000000-0005-0000-0000-00001A030000}"/>
    <cellStyle name="40% - 강조색4 2 2 2" xfId="803" xr:uid="{00000000-0005-0000-0000-00001B030000}"/>
    <cellStyle name="40% - 강조색4 2 2 3" xfId="804" xr:uid="{00000000-0005-0000-0000-00001C030000}"/>
    <cellStyle name="40% - 강조색4 2 2 4" xfId="805" xr:uid="{00000000-0005-0000-0000-00001D030000}"/>
    <cellStyle name="40% - 강조색4 2 2 5" xfId="806" xr:uid="{00000000-0005-0000-0000-00001E030000}"/>
    <cellStyle name="40% - 강조색4 2 2 6" xfId="807" xr:uid="{00000000-0005-0000-0000-00001F030000}"/>
    <cellStyle name="40% - 강조색4 2 3" xfId="808" xr:uid="{00000000-0005-0000-0000-000020030000}"/>
    <cellStyle name="40% - 강조색4 2 3 2" xfId="809" xr:uid="{00000000-0005-0000-0000-000021030000}"/>
    <cellStyle name="40% - 강조색4 2 3 3" xfId="810" xr:uid="{00000000-0005-0000-0000-000022030000}"/>
    <cellStyle name="40% - 강조색4 2 3 4" xfId="811" xr:uid="{00000000-0005-0000-0000-000023030000}"/>
    <cellStyle name="40% - 강조색4 2 3 5" xfId="812" xr:uid="{00000000-0005-0000-0000-000024030000}"/>
    <cellStyle name="40% - 강조색4 2 3 6" xfId="813" xr:uid="{00000000-0005-0000-0000-000025030000}"/>
    <cellStyle name="40% - 강조색4 2 4" xfId="814" xr:uid="{00000000-0005-0000-0000-000026030000}"/>
    <cellStyle name="40% - 강조색4 2 4 2" xfId="815" xr:uid="{00000000-0005-0000-0000-000027030000}"/>
    <cellStyle name="40% - 강조색4 2 4 3" xfId="816" xr:uid="{00000000-0005-0000-0000-000028030000}"/>
    <cellStyle name="40% - 강조색4 2 4 4" xfId="817" xr:uid="{00000000-0005-0000-0000-000029030000}"/>
    <cellStyle name="40% - 강조색4 2 4 5" xfId="818" xr:uid="{00000000-0005-0000-0000-00002A030000}"/>
    <cellStyle name="40% - 강조색4 2 4 6" xfId="819" xr:uid="{00000000-0005-0000-0000-00002B030000}"/>
    <cellStyle name="40% - 강조색4 2 5" xfId="820" xr:uid="{00000000-0005-0000-0000-00002C030000}"/>
    <cellStyle name="40% - 강조색4 2 5 2" xfId="821" xr:uid="{00000000-0005-0000-0000-00002D030000}"/>
    <cellStyle name="40% - 강조색4 2 5 3" xfId="822" xr:uid="{00000000-0005-0000-0000-00002E030000}"/>
    <cellStyle name="40% - 강조색4 2 5 4" xfId="823" xr:uid="{00000000-0005-0000-0000-00002F030000}"/>
    <cellStyle name="40% - 강조색4 2 5 5" xfId="824" xr:uid="{00000000-0005-0000-0000-000030030000}"/>
    <cellStyle name="40% - 강조색4 2 5 6" xfId="825" xr:uid="{00000000-0005-0000-0000-000031030000}"/>
    <cellStyle name="40% - 강조색4 2 6" xfId="826" xr:uid="{00000000-0005-0000-0000-000032030000}"/>
    <cellStyle name="40% - 강조색4 2 6 2" xfId="827" xr:uid="{00000000-0005-0000-0000-000033030000}"/>
    <cellStyle name="40% - 강조색4 2 6 3" xfId="828" xr:uid="{00000000-0005-0000-0000-000034030000}"/>
    <cellStyle name="40% - 강조색4 2 6 4" xfId="829" xr:uid="{00000000-0005-0000-0000-000035030000}"/>
    <cellStyle name="40% - 강조색4 2 6 5" xfId="830" xr:uid="{00000000-0005-0000-0000-000036030000}"/>
    <cellStyle name="40% - 강조색4 2 6 6" xfId="831" xr:uid="{00000000-0005-0000-0000-000037030000}"/>
    <cellStyle name="40% - 강조색4 2 7" xfId="832" xr:uid="{00000000-0005-0000-0000-000038030000}"/>
    <cellStyle name="40% - 강조색4 2 7 2" xfId="833" xr:uid="{00000000-0005-0000-0000-000039030000}"/>
    <cellStyle name="40% - 강조색4 2 7 3" xfId="834" xr:uid="{00000000-0005-0000-0000-00003A030000}"/>
    <cellStyle name="40% - 강조색4 2 7 4" xfId="835" xr:uid="{00000000-0005-0000-0000-00003B030000}"/>
    <cellStyle name="40% - 강조색4 2 7 5" xfId="836" xr:uid="{00000000-0005-0000-0000-00003C030000}"/>
    <cellStyle name="40% - 강조색4 2 7 6" xfId="837" xr:uid="{00000000-0005-0000-0000-00003D030000}"/>
    <cellStyle name="40% - 강조색4 2 8" xfId="838" xr:uid="{00000000-0005-0000-0000-00003E030000}"/>
    <cellStyle name="40% - 강조색4 2 8 2" xfId="839" xr:uid="{00000000-0005-0000-0000-00003F030000}"/>
    <cellStyle name="40% - 강조색4 2 8 3" xfId="840" xr:uid="{00000000-0005-0000-0000-000040030000}"/>
    <cellStyle name="40% - 강조색4 2 8 4" xfId="841" xr:uid="{00000000-0005-0000-0000-000041030000}"/>
    <cellStyle name="40% - 강조색4 2 8 5" xfId="842" xr:uid="{00000000-0005-0000-0000-000042030000}"/>
    <cellStyle name="40% - 강조색4 2 8 6" xfId="843" xr:uid="{00000000-0005-0000-0000-000043030000}"/>
    <cellStyle name="40% - 강조색4 2 9" xfId="844" xr:uid="{00000000-0005-0000-0000-000044030000}"/>
    <cellStyle name="40% - 강조색4 2 9 2" xfId="845" xr:uid="{00000000-0005-0000-0000-000045030000}"/>
    <cellStyle name="40% - 강조색4 2 9 3" xfId="846" xr:uid="{00000000-0005-0000-0000-000046030000}"/>
    <cellStyle name="40% - 강조색4 2 9 4" xfId="847" xr:uid="{00000000-0005-0000-0000-000047030000}"/>
    <cellStyle name="40% - 강조색4 2 9 5" xfId="848" xr:uid="{00000000-0005-0000-0000-000048030000}"/>
    <cellStyle name="40% - 강조색4 2 9 6" xfId="849" xr:uid="{00000000-0005-0000-0000-000049030000}"/>
    <cellStyle name="40% - 강조색5 2" xfId="850" xr:uid="{00000000-0005-0000-0000-00004A030000}"/>
    <cellStyle name="40% - 강조색5 2 10" xfId="851" xr:uid="{00000000-0005-0000-0000-00004B030000}"/>
    <cellStyle name="40% - 강조색5 2 10 2" xfId="852" xr:uid="{00000000-0005-0000-0000-00004C030000}"/>
    <cellStyle name="40% - 강조색5 2 10 3" xfId="853" xr:uid="{00000000-0005-0000-0000-00004D030000}"/>
    <cellStyle name="40% - 강조색5 2 10 4" xfId="854" xr:uid="{00000000-0005-0000-0000-00004E030000}"/>
    <cellStyle name="40% - 강조색5 2 10 5" xfId="855" xr:uid="{00000000-0005-0000-0000-00004F030000}"/>
    <cellStyle name="40% - 강조색5 2 10 6" xfId="856" xr:uid="{00000000-0005-0000-0000-000050030000}"/>
    <cellStyle name="40% - 강조색5 2 11" xfId="857" xr:uid="{00000000-0005-0000-0000-000051030000}"/>
    <cellStyle name="40% - 강조색5 2 11 2" xfId="858" xr:uid="{00000000-0005-0000-0000-000052030000}"/>
    <cellStyle name="40% - 강조색5 2 11 3" xfId="859" xr:uid="{00000000-0005-0000-0000-000053030000}"/>
    <cellStyle name="40% - 강조색5 2 11 4" xfId="860" xr:uid="{00000000-0005-0000-0000-000054030000}"/>
    <cellStyle name="40% - 강조색5 2 11 5" xfId="861" xr:uid="{00000000-0005-0000-0000-000055030000}"/>
    <cellStyle name="40% - 강조색5 2 11 6" xfId="862" xr:uid="{00000000-0005-0000-0000-000056030000}"/>
    <cellStyle name="40% - 강조색5 2 12" xfId="863" xr:uid="{00000000-0005-0000-0000-000057030000}"/>
    <cellStyle name="40% - 강조색5 2 12 2" xfId="864" xr:uid="{00000000-0005-0000-0000-000058030000}"/>
    <cellStyle name="40% - 강조색5 2 12 3" xfId="865" xr:uid="{00000000-0005-0000-0000-000059030000}"/>
    <cellStyle name="40% - 강조색5 2 12 4" xfId="866" xr:uid="{00000000-0005-0000-0000-00005A030000}"/>
    <cellStyle name="40% - 강조색5 2 12 5" xfId="867" xr:uid="{00000000-0005-0000-0000-00005B030000}"/>
    <cellStyle name="40% - 강조색5 2 12 6" xfId="868" xr:uid="{00000000-0005-0000-0000-00005C030000}"/>
    <cellStyle name="40% - 강조색5 2 13" xfId="869" xr:uid="{00000000-0005-0000-0000-00005D030000}"/>
    <cellStyle name="40% - 강조색5 2 13 2" xfId="870" xr:uid="{00000000-0005-0000-0000-00005E030000}"/>
    <cellStyle name="40% - 강조색5 2 13 3" xfId="871" xr:uid="{00000000-0005-0000-0000-00005F030000}"/>
    <cellStyle name="40% - 강조색5 2 13 4" xfId="872" xr:uid="{00000000-0005-0000-0000-000060030000}"/>
    <cellStyle name="40% - 강조색5 2 13 5" xfId="873" xr:uid="{00000000-0005-0000-0000-000061030000}"/>
    <cellStyle name="40% - 강조색5 2 13 6" xfId="874" xr:uid="{00000000-0005-0000-0000-000062030000}"/>
    <cellStyle name="40% - 강조색5 2 14" xfId="875" xr:uid="{00000000-0005-0000-0000-000063030000}"/>
    <cellStyle name="40% - 강조색5 2 14 2" xfId="876" xr:uid="{00000000-0005-0000-0000-000064030000}"/>
    <cellStyle name="40% - 강조색5 2 14 3" xfId="877" xr:uid="{00000000-0005-0000-0000-000065030000}"/>
    <cellStyle name="40% - 강조색5 2 14 4" xfId="878" xr:uid="{00000000-0005-0000-0000-000066030000}"/>
    <cellStyle name="40% - 강조색5 2 14 5" xfId="879" xr:uid="{00000000-0005-0000-0000-000067030000}"/>
    <cellStyle name="40% - 강조색5 2 14 6" xfId="880" xr:uid="{00000000-0005-0000-0000-000068030000}"/>
    <cellStyle name="40% - 강조색5 2 15" xfId="881" xr:uid="{00000000-0005-0000-0000-000069030000}"/>
    <cellStyle name="40% - 강조색5 2 16" xfId="882" xr:uid="{00000000-0005-0000-0000-00006A030000}"/>
    <cellStyle name="40% - 강조색5 2 17" xfId="883" xr:uid="{00000000-0005-0000-0000-00006B030000}"/>
    <cellStyle name="40% - 강조색5 2 18" xfId="884" xr:uid="{00000000-0005-0000-0000-00006C030000}"/>
    <cellStyle name="40% - 강조색5 2 19" xfId="885" xr:uid="{00000000-0005-0000-0000-00006D030000}"/>
    <cellStyle name="40% - 강조색5 2 2" xfId="886" xr:uid="{00000000-0005-0000-0000-00006E030000}"/>
    <cellStyle name="40% - 강조색5 2 2 2" xfId="887" xr:uid="{00000000-0005-0000-0000-00006F030000}"/>
    <cellStyle name="40% - 강조색5 2 2 3" xfId="888" xr:uid="{00000000-0005-0000-0000-000070030000}"/>
    <cellStyle name="40% - 강조색5 2 2 4" xfId="889" xr:uid="{00000000-0005-0000-0000-000071030000}"/>
    <cellStyle name="40% - 강조색5 2 2 5" xfId="890" xr:uid="{00000000-0005-0000-0000-000072030000}"/>
    <cellStyle name="40% - 강조색5 2 2 6" xfId="891" xr:uid="{00000000-0005-0000-0000-000073030000}"/>
    <cellStyle name="40% - 강조색5 2 3" xfId="892" xr:uid="{00000000-0005-0000-0000-000074030000}"/>
    <cellStyle name="40% - 강조색5 2 3 2" xfId="893" xr:uid="{00000000-0005-0000-0000-000075030000}"/>
    <cellStyle name="40% - 강조색5 2 3 3" xfId="894" xr:uid="{00000000-0005-0000-0000-000076030000}"/>
    <cellStyle name="40% - 강조색5 2 3 4" xfId="895" xr:uid="{00000000-0005-0000-0000-000077030000}"/>
    <cellStyle name="40% - 강조색5 2 3 5" xfId="896" xr:uid="{00000000-0005-0000-0000-000078030000}"/>
    <cellStyle name="40% - 강조색5 2 3 6" xfId="897" xr:uid="{00000000-0005-0000-0000-000079030000}"/>
    <cellStyle name="40% - 강조색5 2 4" xfId="898" xr:uid="{00000000-0005-0000-0000-00007A030000}"/>
    <cellStyle name="40% - 강조색5 2 4 2" xfId="899" xr:uid="{00000000-0005-0000-0000-00007B030000}"/>
    <cellStyle name="40% - 강조색5 2 4 3" xfId="900" xr:uid="{00000000-0005-0000-0000-00007C030000}"/>
    <cellStyle name="40% - 강조색5 2 4 4" xfId="901" xr:uid="{00000000-0005-0000-0000-00007D030000}"/>
    <cellStyle name="40% - 강조색5 2 4 5" xfId="902" xr:uid="{00000000-0005-0000-0000-00007E030000}"/>
    <cellStyle name="40% - 강조색5 2 4 6" xfId="903" xr:uid="{00000000-0005-0000-0000-00007F030000}"/>
    <cellStyle name="40% - 강조색5 2 5" xfId="904" xr:uid="{00000000-0005-0000-0000-000080030000}"/>
    <cellStyle name="40% - 강조색5 2 5 2" xfId="905" xr:uid="{00000000-0005-0000-0000-000081030000}"/>
    <cellStyle name="40% - 강조색5 2 5 3" xfId="906" xr:uid="{00000000-0005-0000-0000-000082030000}"/>
    <cellStyle name="40% - 강조색5 2 5 4" xfId="907" xr:uid="{00000000-0005-0000-0000-000083030000}"/>
    <cellStyle name="40% - 강조색5 2 5 5" xfId="908" xr:uid="{00000000-0005-0000-0000-000084030000}"/>
    <cellStyle name="40% - 강조색5 2 5 6" xfId="909" xr:uid="{00000000-0005-0000-0000-000085030000}"/>
    <cellStyle name="40% - 강조색5 2 6" xfId="910" xr:uid="{00000000-0005-0000-0000-000086030000}"/>
    <cellStyle name="40% - 강조색5 2 6 2" xfId="911" xr:uid="{00000000-0005-0000-0000-000087030000}"/>
    <cellStyle name="40% - 강조색5 2 6 3" xfId="912" xr:uid="{00000000-0005-0000-0000-000088030000}"/>
    <cellStyle name="40% - 강조색5 2 6 4" xfId="913" xr:uid="{00000000-0005-0000-0000-000089030000}"/>
    <cellStyle name="40% - 강조색5 2 6 5" xfId="914" xr:uid="{00000000-0005-0000-0000-00008A030000}"/>
    <cellStyle name="40% - 강조색5 2 6 6" xfId="915" xr:uid="{00000000-0005-0000-0000-00008B030000}"/>
    <cellStyle name="40% - 강조색5 2 7" xfId="916" xr:uid="{00000000-0005-0000-0000-00008C030000}"/>
    <cellStyle name="40% - 강조색5 2 7 2" xfId="917" xr:uid="{00000000-0005-0000-0000-00008D030000}"/>
    <cellStyle name="40% - 강조색5 2 7 3" xfId="918" xr:uid="{00000000-0005-0000-0000-00008E030000}"/>
    <cellStyle name="40% - 강조색5 2 7 4" xfId="919" xr:uid="{00000000-0005-0000-0000-00008F030000}"/>
    <cellStyle name="40% - 강조색5 2 7 5" xfId="920" xr:uid="{00000000-0005-0000-0000-000090030000}"/>
    <cellStyle name="40% - 강조색5 2 7 6" xfId="921" xr:uid="{00000000-0005-0000-0000-000091030000}"/>
    <cellStyle name="40% - 강조색5 2 8" xfId="922" xr:uid="{00000000-0005-0000-0000-000092030000}"/>
    <cellStyle name="40% - 강조색5 2 8 2" xfId="923" xr:uid="{00000000-0005-0000-0000-000093030000}"/>
    <cellStyle name="40% - 강조색5 2 8 3" xfId="924" xr:uid="{00000000-0005-0000-0000-000094030000}"/>
    <cellStyle name="40% - 강조색5 2 8 4" xfId="925" xr:uid="{00000000-0005-0000-0000-000095030000}"/>
    <cellStyle name="40% - 강조색5 2 8 5" xfId="926" xr:uid="{00000000-0005-0000-0000-000096030000}"/>
    <cellStyle name="40% - 강조색5 2 8 6" xfId="927" xr:uid="{00000000-0005-0000-0000-000097030000}"/>
    <cellStyle name="40% - 강조색5 2 9" xfId="928" xr:uid="{00000000-0005-0000-0000-000098030000}"/>
    <cellStyle name="40% - 강조색5 2 9 2" xfId="929" xr:uid="{00000000-0005-0000-0000-000099030000}"/>
    <cellStyle name="40% - 강조색5 2 9 3" xfId="930" xr:uid="{00000000-0005-0000-0000-00009A030000}"/>
    <cellStyle name="40% - 강조색5 2 9 4" xfId="931" xr:uid="{00000000-0005-0000-0000-00009B030000}"/>
    <cellStyle name="40% - 강조색5 2 9 5" xfId="932" xr:uid="{00000000-0005-0000-0000-00009C030000}"/>
    <cellStyle name="40% - 강조색5 2 9 6" xfId="933" xr:uid="{00000000-0005-0000-0000-00009D030000}"/>
    <cellStyle name="40% - 강조색6 2" xfId="934" xr:uid="{00000000-0005-0000-0000-00009E030000}"/>
    <cellStyle name="40% - 강조색6 2 10" xfId="935" xr:uid="{00000000-0005-0000-0000-00009F030000}"/>
    <cellStyle name="40% - 강조색6 2 10 2" xfId="936" xr:uid="{00000000-0005-0000-0000-0000A0030000}"/>
    <cellStyle name="40% - 강조색6 2 10 3" xfId="937" xr:uid="{00000000-0005-0000-0000-0000A1030000}"/>
    <cellStyle name="40% - 강조색6 2 10 4" xfId="938" xr:uid="{00000000-0005-0000-0000-0000A2030000}"/>
    <cellStyle name="40% - 강조색6 2 10 5" xfId="939" xr:uid="{00000000-0005-0000-0000-0000A3030000}"/>
    <cellStyle name="40% - 강조색6 2 10 6" xfId="940" xr:uid="{00000000-0005-0000-0000-0000A4030000}"/>
    <cellStyle name="40% - 강조색6 2 11" xfId="941" xr:uid="{00000000-0005-0000-0000-0000A5030000}"/>
    <cellStyle name="40% - 강조색6 2 11 2" xfId="942" xr:uid="{00000000-0005-0000-0000-0000A6030000}"/>
    <cellStyle name="40% - 강조색6 2 11 3" xfId="943" xr:uid="{00000000-0005-0000-0000-0000A7030000}"/>
    <cellStyle name="40% - 강조색6 2 11 4" xfId="944" xr:uid="{00000000-0005-0000-0000-0000A8030000}"/>
    <cellStyle name="40% - 강조색6 2 11 5" xfId="945" xr:uid="{00000000-0005-0000-0000-0000A9030000}"/>
    <cellStyle name="40% - 강조색6 2 11 6" xfId="946" xr:uid="{00000000-0005-0000-0000-0000AA030000}"/>
    <cellStyle name="40% - 강조색6 2 12" xfId="947" xr:uid="{00000000-0005-0000-0000-0000AB030000}"/>
    <cellStyle name="40% - 강조색6 2 12 2" xfId="948" xr:uid="{00000000-0005-0000-0000-0000AC030000}"/>
    <cellStyle name="40% - 강조색6 2 12 3" xfId="949" xr:uid="{00000000-0005-0000-0000-0000AD030000}"/>
    <cellStyle name="40% - 강조색6 2 12 4" xfId="950" xr:uid="{00000000-0005-0000-0000-0000AE030000}"/>
    <cellStyle name="40% - 강조색6 2 12 5" xfId="951" xr:uid="{00000000-0005-0000-0000-0000AF030000}"/>
    <cellStyle name="40% - 강조색6 2 12 6" xfId="952" xr:uid="{00000000-0005-0000-0000-0000B0030000}"/>
    <cellStyle name="40% - 강조색6 2 13" xfId="953" xr:uid="{00000000-0005-0000-0000-0000B1030000}"/>
    <cellStyle name="40% - 강조색6 2 13 2" xfId="954" xr:uid="{00000000-0005-0000-0000-0000B2030000}"/>
    <cellStyle name="40% - 강조색6 2 13 3" xfId="955" xr:uid="{00000000-0005-0000-0000-0000B3030000}"/>
    <cellStyle name="40% - 강조색6 2 13 4" xfId="956" xr:uid="{00000000-0005-0000-0000-0000B4030000}"/>
    <cellStyle name="40% - 강조색6 2 13 5" xfId="957" xr:uid="{00000000-0005-0000-0000-0000B5030000}"/>
    <cellStyle name="40% - 강조색6 2 13 6" xfId="958" xr:uid="{00000000-0005-0000-0000-0000B6030000}"/>
    <cellStyle name="40% - 강조색6 2 14" xfId="959" xr:uid="{00000000-0005-0000-0000-0000B7030000}"/>
    <cellStyle name="40% - 강조색6 2 14 2" xfId="960" xr:uid="{00000000-0005-0000-0000-0000B8030000}"/>
    <cellStyle name="40% - 강조색6 2 14 3" xfId="961" xr:uid="{00000000-0005-0000-0000-0000B9030000}"/>
    <cellStyle name="40% - 강조색6 2 14 4" xfId="962" xr:uid="{00000000-0005-0000-0000-0000BA030000}"/>
    <cellStyle name="40% - 강조색6 2 14 5" xfId="963" xr:uid="{00000000-0005-0000-0000-0000BB030000}"/>
    <cellStyle name="40% - 강조색6 2 14 6" xfId="964" xr:uid="{00000000-0005-0000-0000-0000BC030000}"/>
    <cellStyle name="40% - 강조색6 2 15" xfId="965" xr:uid="{00000000-0005-0000-0000-0000BD030000}"/>
    <cellStyle name="40% - 강조색6 2 16" xfId="966" xr:uid="{00000000-0005-0000-0000-0000BE030000}"/>
    <cellStyle name="40% - 강조색6 2 17" xfId="967" xr:uid="{00000000-0005-0000-0000-0000BF030000}"/>
    <cellStyle name="40% - 강조색6 2 18" xfId="968" xr:uid="{00000000-0005-0000-0000-0000C0030000}"/>
    <cellStyle name="40% - 강조색6 2 19" xfId="969" xr:uid="{00000000-0005-0000-0000-0000C1030000}"/>
    <cellStyle name="40% - 강조색6 2 2" xfId="970" xr:uid="{00000000-0005-0000-0000-0000C2030000}"/>
    <cellStyle name="40% - 강조색6 2 2 2" xfId="971" xr:uid="{00000000-0005-0000-0000-0000C3030000}"/>
    <cellStyle name="40% - 강조색6 2 2 3" xfId="972" xr:uid="{00000000-0005-0000-0000-0000C4030000}"/>
    <cellStyle name="40% - 강조색6 2 2 4" xfId="973" xr:uid="{00000000-0005-0000-0000-0000C5030000}"/>
    <cellStyle name="40% - 강조색6 2 2 5" xfId="974" xr:uid="{00000000-0005-0000-0000-0000C6030000}"/>
    <cellStyle name="40% - 강조색6 2 2 6" xfId="975" xr:uid="{00000000-0005-0000-0000-0000C7030000}"/>
    <cellStyle name="40% - 강조색6 2 3" xfId="976" xr:uid="{00000000-0005-0000-0000-0000C8030000}"/>
    <cellStyle name="40% - 강조색6 2 3 2" xfId="977" xr:uid="{00000000-0005-0000-0000-0000C9030000}"/>
    <cellStyle name="40% - 강조색6 2 3 3" xfId="978" xr:uid="{00000000-0005-0000-0000-0000CA030000}"/>
    <cellStyle name="40% - 강조색6 2 3 4" xfId="979" xr:uid="{00000000-0005-0000-0000-0000CB030000}"/>
    <cellStyle name="40% - 강조색6 2 3 5" xfId="980" xr:uid="{00000000-0005-0000-0000-0000CC030000}"/>
    <cellStyle name="40% - 강조색6 2 3 6" xfId="981" xr:uid="{00000000-0005-0000-0000-0000CD030000}"/>
    <cellStyle name="40% - 강조색6 2 4" xfId="982" xr:uid="{00000000-0005-0000-0000-0000CE030000}"/>
    <cellStyle name="40% - 강조색6 2 4 2" xfId="983" xr:uid="{00000000-0005-0000-0000-0000CF030000}"/>
    <cellStyle name="40% - 강조색6 2 4 3" xfId="984" xr:uid="{00000000-0005-0000-0000-0000D0030000}"/>
    <cellStyle name="40% - 강조색6 2 4 4" xfId="985" xr:uid="{00000000-0005-0000-0000-0000D1030000}"/>
    <cellStyle name="40% - 강조색6 2 4 5" xfId="986" xr:uid="{00000000-0005-0000-0000-0000D2030000}"/>
    <cellStyle name="40% - 강조색6 2 4 6" xfId="987" xr:uid="{00000000-0005-0000-0000-0000D3030000}"/>
    <cellStyle name="40% - 강조색6 2 5" xfId="988" xr:uid="{00000000-0005-0000-0000-0000D4030000}"/>
    <cellStyle name="40% - 강조색6 2 5 2" xfId="989" xr:uid="{00000000-0005-0000-0000-0000D5030000}"/>
    <cellStyle name="40% - 강조색6 2 5 3" xfId="990" xr:uid="{00000000-0005-0000-0000-0000D6030000}"/>
    <cellStyle name="40% - 강조색6 2 5 4" xfId="991" xr:uid="{00000000-0005-0000-0000-0000D7030000}"/>
    <cellStyle name="40% - 강조색6 2 5 5" xfId="992" xr:uid="{00000000-0005-0000-0000-0000D8030000}"/>
    <cellStyle name="40% - 강조색6 2 5 6" xfId="993" xr:uid="{00000000-0005-0000-0000-0000D9030000}"/>
    <cellStyle name="40% - 강조색6 2 6" xfId="994" xr:uid="{00000000-0005-0000-0000-0000DA030000}"/>
    <cellStyle name="40% - 강조색6 2 6 2" xfId="995" xr:uid="{00000000-0005-0000-0000-0000DB030000}"/>
    <cellStyle name="40% - 강조색6 2 6 3" xfId="996" xr:uid="{00000000-0005-0000-0000-0000DC030000}"/>
    <cellStyle name="40% - 강조색6 2 6 4" xfId="997" xr:uid="{00000000-0005-0000-0000-0000DD030000}"/>
    <cellStyle name="40% - 강조색6 2 6 5" xfId="998" xr:uid="{00000000-0005-0000-0000-0000DE030000}"/>
    <cellStyle name="40% - 강조색6 2 6 6" xfId="999" xr:uid="{00000000-0005-0000-0000-0000DF030000}"/>
    <cellStyle name="40% - 강조색6 2 7" xfId="1000" xr:uid="{00000000-0005-0000-0000-0000E0030000}"/>
    <cellStyle name="40% - 강조색6 2 7 2" xfId="1001" xr:uid="{00000000-0005-0000-0000-0000E1030000}"/>
    <cellStyle name="40% - 강조색6 2 7 3" xfId="1002" xr:uid="{00000000-0005-0000-0000-0000E2030000}"/>
    <cellStyle name="40% - 강조색6 2 7 4" xfId="1003" xr:uid="{00000000-0005-0000-0000-0000E3030000}"/>
    <cellStyle name="40% - 강조색6 2 7 5" xfId="1004" xr:uid="{00000000-0005-0000-0000-0000E4030000}"/>
    <cellStyle name="40% - 강조색6 2 7 6" xfId="1005" xr:uid="{00000000-0005-0000-0000-0000E5030000}"/>
    <cellStyle name="40% - 강조색6 2 8" xfId="1006" xr:uid="{00000000-0005-0000-0000-0000E6030000}"/>
    <cellStyle name="40% - 강조색6 2 8 2" xfId="1007" xr:uid="{00000000-0005-0000-0000-0000E7030000}"/>
    <cellStyle name="40% - 강조색6 2 8 3" xfId="1008" xr:uid="{00000000-0005-0000-0000-0000E8030000}"/>
    <cellStyle name="40% - 강조색6 2 8 4" xfId="1009" xr:uid="{00000000-0005-0000-0000-0000E9030000}"/>
    <cellStyle name="40% - 강조색6 2 8 5" xfId="1010" xr:uid="{00000000-0005-0000-0000-0000EA030000}"/>
    <cellStyle name="40% - 강조색6 2 8 6" xfId="1011" xr:uid="{00000000-0005-0000-0000-0000EB030000}"/>
    <cellStyle name="40% - 강조색6 2 9" xfId="1012" xr:uid="{00000000-0005-0000-0000-0000EC030000}"/>
    <cellStyle name="40% - 강조색6 2 9 2" xfId="1013" xr:uid="{00000000-0005-0000-0000-0000ED030000}"/>
    <cellStyle name="40% - 강조색6 2 9 3" xfId="1014" xr:uid="{00000000-0005-0000-0000-0000EE030000}"/>
    <cellStyle name="40% - 강조색6 2 9 4" xfId="1015" xr:uid="{00000000-0005-0000-0000-0000EF030000}"/>
    <cellStyle name="40% - 강조색6 2 9 5" xfId="1016" xr:uid="{00000000-0005-0000-0000-0000F0030000}"/>
    <cellStyle name="40% - 강조색6 2 9 6" xfId="1017" xr:uid="{00000000-0005-0000-0000-0000F1030000}"/>
    <cellStyle name="60% - 강조색1 2" xfId="1018" xr:uid="{00000000-0005-0000-0000-0000F2030000}"/>
    <cellStyle name="60% - 강조색2 2" xfId="1019" xr:uid="{00000000-0005-0000-0000-0000F3030000}"/>
    <cellStyle name="60% - 강조색3 2" xfId="1020" xr:uid="{00000000-0005-0000-0000-0000F4030000}"/>
    <cellStyle name="60% - 강조색4 2" xfId="1021" xr:uid="{00000000-0005-0000-0000-0000F5030000}"/>
    <cellStyle name="60% - 강조색5 2" xfId="1022" xr:uid="{00000000-0005-0000-0000-0000F6030000}"/>
    <cellStyle name="60% - 강조색6 2" xfId="1023" xr:uid="{00000000-0005-0000-0000-0000F7030000}"/>
    <cellStyle name="aryInformation" xfId="3130" xr:uid="{00000000-0005-0000-0000-0000F8030000}"/>
    <cellStyle name="category" xfId="1024" xr:uid="{00000000-0005-0000-0000-0000F9030000}"/>
    <cellStyle name="Comma" xfId="1025" xr:uid="{00000000-0005-0000-0000-0000FA030000}"/>
    <cellStyle name="Comma [0]_판매계획 (2)" xfId="3131" xr:uid="{00000000-0005-0000-0000-0000FB030000}"/>
    <cellStyle name="Comma [0]Ctls" xfId="3132" xr:uid="{00000000-0005-0000-0000-0000FC030000}"/>
    <cellStyle name="Comma_판매계획 (2)" xfId="3133" xr:uid="{00000000-0005-0000-0000-0000FD030000}"/>
    <cellStyle name="CRevision Log" xfId="3134" xr:uid="{00000000-0005-0000-0000-0000FE030000}"/>
    <cellStyle name="Currency" xfId="1026" xr:uid="{00000000-0005-0000-0000-0000FF030000}"/>
    <cellStyle name="Currency [0]_판매계획 (2)" xfId="3135" xr:uid="{00000000-0005-0000-0000-000000040000}"/>
    <cellStyle name="Currency_판매계획 (2)" xfId="3136" xr:uid="{00000000-0005-0000-0000-000001040000}"/>
    <cellStyle name="Date" xfId="1027" xr:uid="{00000000-0005-0000-0000-000002040000}"/>
    <cellStyle name="Fixed" xfId="1028" xr:uid="{00000000-0005-0000-0000-000003040000}"/>
    <cellStyle name="Grey" xfId="1029" xr:uid="{00000000-0005-0000-0000-000004040000}"/>
    <cellStyle name="HEADER" xfId="1030" xr:uid="{00000000-0005-0000-0000-000005040000}"/>
    <cellStyle name="Header1" xfId="1031" xr:uid="{00000000-0005-0000-0000-000006040000}"/>
    <cellStyle name="Header2" xfId="1032" xr:uid="{00000000-0005-0000-0000-000007040000}"/>
    <cellStyle name="Heading1" xfId="1033" xr:uid="{00000000-0005-0000-0000-000008040000}"/>
    <cellStyle name="Heading2" xfId="1034" xr:uid="{00000000-0005-0000-0000-000009040000}"/>
    <cellStyle name="Input [yellow]" xfId="1035" xr:uid="{00000000-0005-0000-0000-00000A040000}"/>
    <cellStyle name="kbook" xfId="3137" xr:uid="{00000000-0005-0000-0000-00000B040000}"/>
    <cellStyle name="Model" xfId="1036" xr:uid="{00000000-0005-0000-0000-00000C040000}"/>
    <cellStyle name="Normal - Style1" xfId="1037" xr:uid="{00000000-0005-0000-0000-00000D040000}"/>
    <cellStyle name="Normal_Certs Q2" xfId="3138" xr:uid="{00000000-0005-0000-0000-00000E040000}"/>
    <cellStyle name="OJECT_CUR" xfId="3139" xr:uid="{00000000-0005-0000-0000-00000F040000}"/>
    <cellStyle name="on" xfId="3140" xr:uid="{00000000-0005-0000-0000-000010040000}"/>
    <cellStyle name="Percent" xfId="1038" xr:uid="{00000000-0005-0000-0000-000011040000}"/>
    <cellStyle name="Percent [2]" xfId="1039" xr:uid="{00000000-0005-0000-0000-000012040000}"/>
    <cellStyle name="subhead" xfId="1040" xr:uid="{00000000-0005-0000-0000-000013040000}"/>
    <cellStyle name="Total" xfId="1041" xr:uid="{00000000-0005-0000-0000-000014040000}"/>
    <cellStyle name="yInformation" xfId="3141" xr:uid="{00000000-0005-0000-0000-000015040000}"/>
    <cellStyle name="ㄱ" xfId="3142" xr:uid="{00000000-0005-0000-0000-000016040000}"/>
    <cellStyle name="강조색1 2" xfId="1042" xr:uid="{00000000-0005-0000-0000-000017040000}"/>
    <cellStyle name="강조색2 2" xfId="1043" xr:uid="{00000000-0005-0000-0000-000018040000}"/>
    <cellStyle name="강조색3 2" xfId="1044" xr:uid="{00000000-0005-0000-0000-000019040000}"/>
    <cellStyle name="강조색4 2" xfId="1045" xr:uid="{00000000-0005-0000-0000-00001A040000}"/>
    <cellStyle name="강조색5 2" xfId="1046" xr:uid="{00000000-0005-0000-0000-00001B040000}"/>
    <cellStyle name="강조색6 2" xfId="1047" xr:uid="{00000000-0005-0000-0000-00001C040000}"/>
    <cellStyle name="경고문 2" xfId="1048" xr:uid="{00000000-0005-0000-0000-00001D040000}"/>
    <cellStyle name="계산 2" xfId="1049" xr:uid="{00000000-0005-0000-0000-00001E040000}"/>
    <cellStyle name="나쁨 2" xfId="1050" xr:uid="{00000000-0005-0000-0000-00001F040000}"/>
    <cellStyle name="메모 2" xfId="1051" xr:uid="{00000000-0005-0000-0000-000020040000}"/>
    <cellStyle name="백분율" xfId="8" builtinId="5"/>
    <cellStyle name="백분율 10" xfId="3297" xr:uid="{00000000-0005-0000-0000-000022040000}"/>
    <cellStyle name="백분율 11" xfId="3518" xr:uid="{00000000-0005-0000-0000-000023040000}"/>
    <cellStyle name="백분율 12" xfId="1052" xr:uid="{00000000-0005-0000-0000-000024040000}"/>
    <cellStyle name="백분율 2" xfId="3" xr:uid="{00000000-0005-0000-0000-000025040000}"/>
    <cellStyle name="백분율 2 10" xfId="1054" xr:uid="{00000000-0005-0000-0000-000026040000}"/>
    <cellStyle name="백분율 2 10 2" xfId="1055" xr:uid="{00000000-0005-0000-0000-000027040000}"/>
    <cellStyle name="백분율 2 10 3" xfId="1056" xr:uid="{00000000-0005-0000-0000-000028040000}"/>
    <cellStyle name="백분율 2 11" xfId="1057" xr:uid="{00000000-0005-0000-0000-000029040000}"/>
    <cellStyle name="백분율 2 11 2" xfId="1058" xr:uid="{00000000-0005-0000-0000-00002A040000}"/>
    <cellStyle name="백분율 2 11 3" xfId="1059" xr:uid="{00000000-0005-0000-0000-00002B040000}"/>
    <cellStyle name="백분율 2 12" xfId="1060" xr:uid="{00000000-0005-0000-0000-00002C040000}"/>
    <cellStyle name="백분율 2 12 2" xfId="1061" xr:uid="{00000000-0005-0000-0000-00002D040000}"/>
    <cellStyle name="백분율 2 12 3" xfId="1062" xr:uid="{00000000-0005-0000-0000-00002E040000}"/>
    <cellStyle name="백분율 2 13" xfId="1063" xr:uid="{00000000-0005-0000-0000-00002F040000}"/>
    <cellStyle name="백분율 2 14" xfId="1064" xr:uid="{00000000-0005-0000-0000-000030040000}"/>
    <cellStyle name="백분율 2 15" xfId="1065" xr:uid="{00000000-0005-0000-0000-000031040000}"/>
    <cellStyle name="백분율 2 16" xfId="1066" xr:uid="{00000000-0005-0000-0000-000032040000}"/>
    <cellStyle name="백분율 2 17" xfId="1067" xr:uid="{00000000-0005-0000-0000-000033040000}"/>
    <cellStyle name="백분율 2 18" xfId="1068" xr:uid="{00000000-0005-0000-0000-000034040000}"/>
    <cellStyle name="백분율 2 19" xfId="1069" xr:uid="{00000000-0005-0000-0000-000035040000}"/>
    <cellStyle name="백분율 2 2" xfId="1070" xr:uid="{00000000-0005-0000-0000-000036040000}"/>
    <cellStyle name="백분율 2 2 10" xfId="1071" xr:uid="{00000000-0005-0000-0000-000037040000}"/>
    <cellStyle name="백분율 2 2 2" xfId="1072" xr:uid="{00000000-0005-0000-0000-000038040000}"/>
    <cellStyle name="백분율 2 2 2 2" xfId="1073" xr:uid="{00000000-0005-0000-0000-000039040000}"/>
    <cellStyle name="백분율 2 2 2 2 2" xfId="1074" xr:uid="{00000000-0005-0000-0000-00003A040000}"/>
    <cellStyle name="백분율 2 2 2 2 3" xfId="1075" xr:uid="{00000000-0005-0000-0000-00003B040000}"/>
    <cellStyle name="백분율 2 2 3" xfId="1076" xr:uid="{00000000-0005-0000-0000-00003C040000}"/>
    <cellStyle name="백분율 2 2 4" xfId="1077" xr:uid="{00000000-0005-0000-0000-00003D040000}"/>
    <cellStyle name="백분율 2 2 5" xfId="1078" xr:uid="{00000000-0005-0000-0000-00003E040000}"/>
    <cellStyle name="백분율 2 2 5 2" xfId="1079" xr:uid="{00000000-0005-0000-0000-00003F040000}"/>
    <cellStyle name="백분율 2 2 5 3" xfId="1080" xr:uid="{00000000-0005-0000-0000-000040040000}"/>
    <cellStyle name="백분율 2 2 5 3 2" xfId="1081" xr:uid="{00000000-0005-0000-0000-000041040000}"/>
    <cellStyle name="백분율 2 2 5 4" xfId="1082" xr:uid="{00000000-0005-0000-0000-000042040000}"/>
    <cellStyle name="백분율 2 2 6" xfId="1083" xr:uid="{00000000-0005-0000-0000-000043040000}"/>
    <cellStyle name="백분율 2 2 6 2" xfId="1084" xr:uid="{00000000-0005-0000-0000-000044040000}"/>
    <cellStyle name="백분율 2 2 6 2 2" xfId="1085" xr:uid="{00000000-0005-0000-0000-000045040000}"/>
    <cellStyle name="백분율 2 2 7" xfId="1086" xr:uid="{00000000-0005-0000-0000-000046040000}"/>
    <cellStyle name="백분율 2 2 8" xfId="1087" xr:uid="{00000000-0005-0000-0000-000047040000}"/>
    <cellStyle name="백분율 2 2 9" xfId="1088" xr:uid="{00000000-0005-0000-0000-000048040000}"/>
    <cellStyle name="백분율 2 20" xfId="1089" xr:uid="{00000000-0005-0000-0000-000049040000}"/>
    <cellStyle name="백분율 2 21" xfId="1090" xr:uid="{00000000-0005-0000-0000-00004A040000}"/>
    <cellStyle name="백분율 2 22" xfId="1091" xr:uid="{00000000-0005-0000-0000-00004B040000}"/>
    <cellStyle name="백분율 2 23" xfId="1092" xr:uid="{00000000-0005-0000-0000-00004C040000}"/>
    <cellStyle name="백분율 2 24" xfId="1093" xr:uid="{00000000-0005-0000-0000-00004D040000}"/>
    <cellStyle name="백분율 2 25" xfId="1094" xr:uid="{00000000-0005-0000-0000-00004E040000}"/>
    <cellStyle name="백분율 2 25 2" xfId="1095" xr:uid="{00000000-0005-0000-0000-00004F040000}"/>
    <cellStyle name="백분율 2 26" xfId="3144" xr:uid="{00000000-0005-0000-0000-000050040000}"/>
    <cellStyle name="백분율 2 27" xfId="1053" xr:uid="{00000000-0005-0000-0000-000051040000}"/>
    <cellStyle name="백분율 2 3" xfId="1096" xr:uid="{00000000-0005-0000-0000-000052040000}"/>
    <cellStyle name="백분율 2 3 2" xfId="1097" xr:uid="{00000000-0005-0000-0000-000053040000}"/>
    <cellStyle name="백분율 2 3 2 2" xfId="1098" xr:uid="{00000000-0005-0000-0000-000054040000}"/>
    <cellStyle name="백분율 2 3 2 2 2" xfId="1099" xr:uid="{00000000-0005-0000-0000-000055040000}"/>
    <cellStyle name="백분율 2 3 2 3" xfId="1100" xr:uid="{00000000-0005-0000-0000-000056040000}"/>
    <cellStyle name="백분율 2 3 3" xfId="1101" xr:uid="{00000000-0005-0000-0000-000057040000}"/>
    <cellStyle name="백분율 2 3 4" xfId="1102" xr:uid="{00000000-0005-0000-0000-000058040000}"/>
    <cellStyle name="백분율 2 3 5" xfId="1103" xr:uid="{00000000-0005-0000-0000-000059040000}"/>
    <cellStyle name="백분율 2 3 6" xfId="1104" xr:uid="{00000000-0005-0000-0000-00005A040000}"/>
    <cellStyle name="백분율 2 3 7" xfId="1105" xr:uid="{00000000-0005-0000-0000-00005B040000}"/>
    <cellStyle name="백분율 2 4" xfId="1106" xr:uid="{00000000-0005-0000-0000-00005C040000}"/>
    <cellStyle name="백분율 2 4 2" xfId="1107" xr:uid="{00000000-0005-0000-0000-00005D040000}"/>
    <cellStyle name="백분율 2 4 2 2" xfId="1108" xr:uid="{00000000-0005-0000-0000-00005E040000}"/>
    <cellStyle name="백분율 2 4 3" xfId="1109" xr:uid="{00000000-0005-0000-0000-00005F040000}"/>
    <cellStyle name="백분율 2 5" xfId="1110" xr:uid="{00000000-0005-0000-0000-000060040000}"/>
    <cellStyle name="백분율 2 5 2" xfId="1111" xr:uid="{00000000-0005-0000-0000-000061040000}"/>
    <cellStyle name="백분율 2 5 3" xfId="1112" xr:uid="{00000000-0005-0000-0000-000062040000}"/>
    <cellStyle name="백분율 2 6" xfId="1113" xr:uid="{00000000-0005-0000-0000-000063040000}"/>
    <cellStyle name="백분율 2 6 2" xfId="1114" xr:uid="{00000000-0005-0000-0000-000064040000}"/>
    <cellStyle name="백분율 2 6 3" xfId="1115" xr:uid="{00000000-0005-0000-0000-000065040000}"/>
    <cellStyle name="백분율 2 7" xfId="1116" xr:uid="{00000000-0005-0000-0000-000066040000}"/>
    <cellStyle name="백분율 2 7 2" xfId="1117" xr:uid="{00000000-0005-0000-0000-000067040000}"/>
    <cellStyle name="백분율 2 7 3" xfId="1118" xr:uid="{00000000-0005-0000-0000-000068040000}"/>
    <cellStyle name="백분율 2 8" xfId="1119" xr:uid="{00000000-0005-0000-0000-000069040000}"/>
    <cellStyle name="백분율 2 8 2" xfId="1120" xr:uid="{00000000-0005-0000-0000-00006A040000}"/>
    <cellStyle name="백분율 2 8 3" xfId="1121" xr:uid="{00000000-0005-0000-0000-00006B040000}"/>
    <cellStyle name="백분율 2 9" xfId="1122" xr:uid="{00000000-0005-0000-0000-00006C040000}"/>
    <cellStyle name="백분율 2 9 2" xfId="1123" xr:uid="{00000000-0005-0000-0000-00006D040000}"/>
    <cellStyle name="백분율 2 9 3" xfId="1124" xr:uid="{00000000-0005-0000-0000-00006E040000}"/>
    <cellStyle name="백분율 24" xfId="1125" xr:uid="{00000000-0005-0000-0000-00006F040000}"/>
    <cellStyle name="백분율 24 2" xfId="1126" xr:uid="{00000000-0005-0000-0000-000070040000}"/>
    <cellStyle name="백분율 3" xfId="3114" xr:uid="{00000000-0005-0000-0000-000071040000}"/>
    <cellStyle name="백분율 3 2" xfId="1127" xr:uid="{00000000-0005-0000-0000-000072040000}"/>
    <cellStyle name="백분율 3 3" xfId="1128" xr:uid="{00000000-0005-0000-0000-000073040000}"/>
    <cellStyle name="백분율 4" xfId="3124" xr:uid="{00000000-0005-0000-0000-000074040000}"/>
    <cellStyle name="백분율 5" xfId="3143" xr:uid="{00000000-0005-0000-0000-000075040000}"/>
    <cellStyle name="백분율 6" xfId="3174" xr:uid="{00000000-0005-0000-0000-000076040000}"/>
    <cellStyle name="백분율 7" xfId="3183" xr:uid="{00000000-0005-0000-0000-000077040000}"/>
    <cellStyle name="백분율 8" xfId="3196" xr:uid="{00000000-0005-0000-0000-000078040000}"/>
    <cellStyle name="백분율 9" xfId="3239" xr:uid="{00000000-0005-0000-0000-000079040000}"/>
    <cellStyle name="보통 2" xfId="1129" xr:uid="{00000000-0005-0000-0000-00007A040000}"/>
    <cellStyle name="설명 텍스트 2" xfId="1130" xr:uid="{00000000-0005-0000-0000-00007B040000}"/>
    <cellStyle name="셀 확인 2" xfId="1131" xr:uid="{00000000-0005-0000-0000-00007C040000}"/>
    <cellStyle name="쉼표 [0]" xfId="1" builtinId="6"/>
    <cellStyle name="쉼표 [0] 10" xfId="1133" xr:uid="{00000000-0005-0000-0000-00007E040000}"/>
    <cellStyle name="쉼표 [0] 10 10" xfId="1134" xr:uid="{00000000-0005-0000-0000-00007F040000}"/>
    <cellStyle name="쉼표 [0] 10 11" xfId="1135" xr:uid="{00000000-0005-0000-0000-000080040000}"/>
    <cellStyle name="쉼표 [0] 10 12" xfId="1136" xr:uid="{00000000-0005-0000-0000-000081040000}"/>
    <cellStyle name="쉼표 [0] 10 2" xfId="1137" xr:uid="{00000000-0005-0000-0000-000082040000}"/>
    <cellStyle name="쉼표 [0] 10 3" xfId="1138" xr:uid="{00000000-0005-0000-0000-000083040000}"/>
    <cellStyle name="쉼표 [0] 10 4" xfId="1139" xr:uid="{00000000-0005-0000-0000-000084040000}"/>
    <cellStyle name="쉼표 [0] 10 5" xfId="1140" xr:uid="{00000000-0005-0000-0000-000085040000}"/>
    <cellStyle name="쉼표 [0] 10 6" xfId="1141" xr:uid="{00000000-0005-0000-0000-000086040000}"/>
    <cellStyle name="쉼표 [0] 10 7" xfId="1142" xr:uid="{00000000-0005-0000-0000-000087040000}"/>
    <cellStyle name="쉼표 [0] 10 8" xfId="1143" xr:uid="{00000000-0005-0000-0000-000088040000}"/>
    <cellStyle name="쉼표 [0] 10 9" xfId="1144" xr:uid="{00000000-0005-0000-0000-000089040000}"/>
    <cellStyle name="쉼표 [0] 11" xfId="1145" xr:uid="{00000000-0005-0000-0000-00008A040000}"/>
    <cellStyle name="쉼표 [0] 11 10" xfId="1146" xr:uid="{00000000-0005-0000-0000-00008B040000}"/>
    <cellStyle name="쉼표 [0] 11 11" xfId="1147" xr:uid="{00000000-0005-0000-0000-00008C040000}"/>
    <cellStyle name="쉼표 [0] 11 12" xfId="1148" xr:uid="{00000000-0005-0000-0000-00008D040000}"/>
    <cellStyle name="쉼표 [0] 11 2" xfId="1149" xr:uid="{00000000-0005-0000-0000-00008E040000}"/>
    <cellStyle name="쉼표 [0] 11 3" xfId="1150" xr:uid="{00000000-0005-0000-0000-00008F040000}"/>
    <cellStyle name="쉼표 [0] 11 4" xfId="1151" xr:uid="{00000000-0005-0000-0000-000090040000}"/>
    <cellStyle name="쉼표 [0] 11 5" xfId="1152" xr:uid="{00000000-0005-0000-0000-000091040000}"/>
    <cellStyle name="쉼표 [0] 11 6" xfId="1153" xr:uid="{00000000-0005-0000-0000-000092040000}"/>
    <cellStyle name="쉼표 [0] 11 7" xfId="1154" xr:uid="{00000000-0005-0000-0000-000093040000}"/>
    <cellStyle name="쉼표 [0] 11 8" xfId="1155" xr:uid="{00000000-0005-0000-0000-000094040000}"/>
    <cellStyle name="쉼표 [0] 11 9" xfId="1156" xr:uid="{00000000-0005-0000-0000-000095040000}"/>
    <cellStyle name="쉼표 [0] 12" xfId="1157" xr:uid="{00000000-0005-0000-0000-000096040000}"/>
    <cellStyle name="쉼표 [0] 12 2" xfId="1158" xr:uid="{00000000-0005-0000-0000-000097040000}"/>
    <cellStyle name="쉼표 [0] 12 2 2" xfId="1159" xr:uid="{00000000-0005-0000-0000-000098040000}"/>
    <cellStyle name="쉼표 [0] 12 2 2 2" xfId="1160" xr:uid="{00000000-0005-0000-0000-000099040000}"/>
    <cellStyle name="쉼표 [0] 12 2 2 2 2" xfId="1161" xr:uid="{00000000-0005-0000-0000-00009A040000}"/>
    <cellStyle name="쉼표 [0] 12 2 3" xfId="1162" xr:uid="{00000000-0005-0000-0000-00009B040000}"/>
    <cellStyle name="쉼표 [0] 12 2 4" xfId="1163" xr:uid="{00000000-0005-0000-0000-00009C040000}"/>
    <cellStyle name="쉼표 [0] 12 2 5" xfId="1164" xr:uid="{00000000-0005-0000-0000-00009D040000}"/>
    <cellStyle name="쉼표 [0] 12 2 6" xfId="1165" xr:uid="{00000000-0005-0000-0000-00009E040000}"/>
    <cellStyle name="쉼표 [0] 12 3" xfId="1166" xr:uid="{00000000-0005-0000-0000-00009F040000}"/>
    <cellStyle name="쉼표 [0] 12 3 2" xfId="1167" xr:uid="{00000000-0005-0000-0000-0000A0040000}"/>
    <cellStyle name="쉼표 [0] 12 3 2 2" xfId="1168" xr:uid="{00000000-0005-0000-0000-0000A1040000}"/>
    <cellStyle name="쉼표 [0] 12 3 2 2 2" xfId="1169" xr:uid="{00000000-0005-0000-0000-0000A2040000}"/>
    <cellStyle name="쉼표 [0] 12 3 3" xfId="1170" xr:uid="{00000000-0005-0000-0000-0000A3040000}"/>
    <cellStyle name="쉼표 [0] 12 3 4" xfId="1171" xr:uid="{00000000-0005-0000-0000-0000A4040000}"/>
    <cellStyle name="쉼표 [0] 12 3 5" xfId="1172" xr:uid="{00000000-0005-0000-0000-0000A5040000}"/>
    <cellStyle name="쉼표 [0] 12 3 6" xfId="1173" xr:uid="{00000000-0005-0000-0000-0000A6040000}"/>
    <cellStyle name="쉼표 [0] 12 4" xfId="1174" xr:uid="{00000000-0005-0000-0000-0000A7040000}"/>
    <cellStyle name="쉼표 [0] 12 4 2" xfId="1175" xr:uid="{00000000-0005-0000-0000-0000A8040000}"/>
    <cellStyle name="쉼표 [0] 12 4 2 2" xfId="1176" xr:uid="{00000000-0005-0000-0000-0000A9040000}"/>
    <cellStyle name="쉼표 [0] 12 4 2 2 2" xfId="1177" xr:uid="{00000000-0005-0000-0000-0000AA040000}"/>
    <cellStyle name="쉼표 [0] 12 4 3" xfId="1178" xr:uid="{00000000-0005-0000-0000-0000AB040000}"/>
    <cellStyle name="쉼표 [0] 12 4 4" xfId="1179" xr:uid="{00000000-0005-0000-0000-0000AC040000}"/>
    <cellStyle name="쉼표 [0] 12 4 5" xfId="1180" xr:uid="{00000000-0005-0000-0000-0000AD040000}"/>
    <cellStyle name="쉼표 [0] 12 4 6" xfId="1181" xr:uid="{00000000-0005-0000-0000-0000AE040000}"/>
    <cellStyle name="쉼표 [0] 12 5" xfId="1182" xr:uid="{00000000-0005-0000-0000-0000AF040000}"/>
    <cellStyle name="쉼표 [0] 12 5 2" xfId="1183" xr:uid="{00000000-0005-0000-0000-0000B0040000}"/>
    <cellStyle name="쉼표 [0] 12 5 2 2" xfId="1184" xr:uid="{00000000-0005-0000-0000-0000B1040000}"/>
    <cellStyle name="쉼표 [0] 12 6" xfId="1185" xr:uid="{00000000-0005-0000-0000-0000B2040000}"/>
    <cellStyle name="쉼표 [0] 12 7" xfId="1186" xr:uid="{00000000-0005-0000-0000-0000B3040000}"/>
    <cellStyle name="쉼표 [0] 12 8" xfId="1187" xr:uid="{00000000-0005-0000-0000-0000B4040000}"/>
    <cellStyle name="쉼표 [0] 12 9" xfId="1188" xr:uid="{00000000-0005-0000-0000-0000B5040000}"/>
    <cellStyle name="쉼표 [0] 13" xfId="1189" xr:uid="{00000000-0005-0000-0000-0000B6040000}"/>
    <cellStyle name="쉼표 [0] 13 10" xfId="1190" xr:uid="{00000000-0005-0000-0000-0000B7040000}"/>
    <cellStyle name="쉼표 [0] 13 11" xfId="1191" xr:uid="{00000000-0005-0000-0000-0000B8040000}"/>
    <cellStyle name="쉼표 [0] 13 12" xfId="1192" xr:uid="{00000000-0005-0000-0000-0000B9040000}"/>
    <cellStyle name="쉼표 [0] 13 2" xfId="1193" xr:uid="{00000000-0005-0000-0000-0000BA040000}"/>
    <cellStyle name="쉼표 [0] 13 2 2" xfId="1194" xr:uid="{00000000-0005-0000-0000-0000BB040000}"/>
    <cellStyle name="쉼표 [0] 13 2 2 2" xfId="1195" xr:uid="{00000000-0005-0000-0000-0000BC040000}"/>
    <cellStyle name="쉼표 [0] 13 2 2 2 2" xfId="1196" xr:uid="{00000000-0005-0000-0000-0000BD040000}"/>
    <cellStyle name="쉼표 [0] 13 2 3" xfId="1197" xr:uid="{00000000-0005-0000-0000-0000BE040000}"/>
    <cellStyle name="쉼표 [0] 13 2 4" xfId="1198" xr:uid="{00000000-0005-0000-0000-0000BF040000}"/>
    <cellStyle name="쉼표 [0] 13 2 5" xfId="1199" xr:uid="{00000000-0005-0000-0000-0000C0040000}"/>
    <cellStyle name="쉼표 [0] 13 2 6" xfId="1200" xr:uid="{00000000-0005-0000-0000-0000C1040000}"/>
    <cellStyle name="쉼표 [0] 13 3" xfId="1201" xr:uid="{00000000-0005-0000-0000-0000C2040000}"/>
    <cellStyle name="쉼표 [0] 13 3 2" xfId="1202" xr:uid="{00000000-0005-0000-0000-0000C3040000}"/>
    <cellStyle name="쉼표 [0] 13 3 2 2" xfId="1203" xr:uid="{00000000-0005-0000-0000-0000C4040000}"/>
    <cellStyle name="쉼표 [0] 13 3 2 2 2" xfId="1204" xr:uid="{00000000-0005-0000-0000-0000C5040000}"/>
    <cellStyle name="쉼표 [0] 13 3 3" xfId="1205" xr:uid="{00000000-0005-0000-0000-0000C6040000}"/>
    <cellStyle name="쉼표 [0] 13 3 4" xfId="1206" xr:uid="{00000000-0005-0000-0000-0000C7040000}"/>
    <cellStyle name="쉼표 [0] 13 3 5" xfId="1207" xr:uid="{00000000-0005-0000-0000-0000C8040000}"/>
    <cellStyle name="쉼표 [0] 13 3 6" xfId="1208" xr:uid="{00000000-0005-0000-0000-0000C9040000}"/>
    <cellStyle name="쉼표 [0] 13 4" xfId="1209" xr:uid="{00000000-0005-0000-0000-0000CA040000}"/>
    <cellStyle name="쉼표 [0] 13 4 2" xfId="1210" xr:uid="{00000000-0005-0000-0000-0000CB040000}"/>
    <cellStyle name="쉼표 [0] 13 4 2 2" xfId="1211" xr:uid="{00000000-0005-0000-0000-0000CC040000}"/>
    <cellStyle name="쉼표 [0] 13 4 2 2 2" xfId="1212" xr:uid="{00000000-0005-0000-0000-0000CD040000}"/>
    <cellStyle name="쉼표 [0] 13 4 3" xfId="1213" xr:uid="{00000000-0005-0000-0000-0000CE040000}"/>
    <cellStyle name="쉼표 [0] 13 4 4" xfId="1214" xr:uid="{00000000-0005-0000-0000-0000CF040000}"/>
    <cellStyle name="쉼표 [0] 13 4 5" xfId="1215" xr:uid="{00000000-0005-0000-0000-0000D0040000}"/>
    <cellStyle name="쉼표 [0] 13 4 6" xfId="1216" xr:uid="{00000000-0005-0000-0000-0000D1040000}"/>
    <cellStyle name="쉼표 [0] 13 5" xfId="1217" xr:uid="{00000000-0005-0000-0000-0000D2040000}"/>
    <cellStyle name="쉼표 [0] 13 5 2" xfId="1218" xr:uid="{00000000-0005-0000-0000-0000D3040000}"/>
    <cellStyle name="쉼표 [0] 13 5 2 2" xfId="1219" xr:uid="{00000000-0005-0000-0000-0000D4040000}"/>
    <cellStyle name="쉼표 [0] 13 5 2 2 2" xfId="1220" xr:uid="{00000000-0005-0000-0000-0000D5040000}"/>
    <cellStyle name="쉼표 [0] 13 5 3" xfId="1221" xr:uid="{00000000-0005-0000-0000-0000D6040000}"/>
    <cellStyle name="쉼표 [0] 13 5 4" xfId="1222" xr:uid="{00000000-0005-0000-0000-0000D7040000}"/>
    <cellStyle name="쉼표 [0] 13 5 5" xfId="1223" xr:uid="{00000000-0005-0000-0000-0000D8040000}"/>
    <cellStyle name="쉼표 [0] 13 5 6" xfId="1224" xr:uid="{00000000-0005-0000-0000-0000D9040000}"/>
    <cellStyle name="쉼표 [0] 13 6" xfId="1225" xr:uid="{00000000-0005-0000-0000-0000DA040000}"/>
    <cellStyle name="쉼표 [0] 13 6 2" xfId="1226" xr:uid="{00000000-0005-0000-0000-0000DB040000}"/>
    <cellStyle name="쉼표 [0] 13 6 2 2" xfId="1227" xr:uid="{00000000-0005-0000-0000-0000DC040000}"/>
    <cellStyle name="쉼표 [0] 13 6 2 2 2" xfId="1228" xr:uid="{00000000-0005-0000-0000-0000DD040000}"/>
    <cellStyle name="쉼표 [0] 13 6 3" xfId="1229" xr:uid="{00000000-0005-0000-0000-0000DE040000}"/>
    <cellStyle name="쉼표 [0] 13 6 4" xfId="1230" xr:uid="{00000000-0005-0000-0000-0000DF040000}"/>
    <cellStyle name="쉼표 [0] 13 6 5" xfId="1231" xr:uid="{00000000-0005-0000-0000-0000E0040000}"/>
    <cellStyle name="쉼표 [0] 13 6 6" xfId="1232" xr:uid="{00000000-0005-0000-0000-0000E1040000}"/>
    <cellStyle name="쉼표 [0] 13 7" xfId="1233" xr:uid="{00000000-0005-0000-0000-0000E2040000}"/>
    <cellStyle name="쉼표 [0] 13 7 2" xfId="1234" xr:uid="{00000000-0005-0000-0000-0000E3040000}"/>
    <cellStyle name="쉼표 [0] 13 7 2 2" xfId="1235" xr:uid="{00000000-0005-0000-0000-0000E4040000}"/>
    <cellStyle name="쉼표 [0] 13 7 2 2 2" xfId="1236" xr:uid="{00000000-0005-0000-0000-0000E5040000}"/>
    <cellStyle name="쉼표 [0] 13 7 3" xfId="1237" xr:uid="{00000000-0005-0000-0000-0000E6040000}"/>
    <cellStyle name="쉼표 [0] 13 7 4" xfId="1238" xr:uid="{00000000-0005-0000-0000-0000E7040000}"/>
    <cellStyle name="쉼표 [0] 13 7 5" xfId="1239" xr:uid="{00000000-0005-0000-0000-0000E8040000}"/>
    <cellStyle name="쉼표 [0] 13 7 6" xfId="1240" xr:uid="{00000000-0005-0000-0000-0000E9040000}"/>
    <cellStyle name="쉼표 [0] 13 8" xfId="1241" xr:uid="{00000000-0005-0000-0000-0000EA040000}"/>
    <cellStyle name="쉼표 [0] 13 8 2" xfId="1242" xr:uid="{00000000-0005-0000-0000-0000EB040000}"/>
    <cellStyle name="쉼표 [0] 13 8 2 2" xfId="1243" xr:uid="{00000000-0005-0000-0000-0000EC040000}"/>
    <cellStyle name="쉼표 [0] 13 9" xfId="1244" xr:uid="{00000000-0005-0000-0000-0000ED040000}"/>
    <cellStyle name="쉼표 [0] 14" xfId="3115" xr:uid="{00000000-0005-0000-0000-0000EE040000}"/>
    <cellStyle name="쉼표 [0] 14 2" xfId="1245" xr:uid="{00000000-0005-0000-0000-0000EF040000}"/>
    <cellStyle name="쉼표 [0] 14 3" xfId="1246" xr:uid="{00000000-0005-0000-0000-0000F0040000}"/>
    <cellStyle name="쉼표 [0] 15" xfId="1247" xr:uid="{00000000-0005-0000-0000-0000F1040000}"/>
    <cellStyle name="쉼표 [0] 16" xfId="1248" xr:uid="{00000000-0005-0000-0000-0000F2040000}"/>
    <cellStyle name="쉼표 [0] 17" xfId="1249" xr:uid="{00000000-0005-0000-0000-0000F3040000}"/>
    <cellStyle name="쉼표 [0] 18" xfId="1250" xr:uid="{00000000-0005-0000-0000-0000F4040000}"/>
    <cellStyle name="쉼표 [0] 19" xfId="1251" xr:uid="{00000000-0005-0000-0000-0000F5040000}"/>
    <cellStyle name="쉼표 [0] 2" xfId="4" xr:uid="{00000000-0005-0000-0000-0000F6040000}"/>
    <cellStyle name="쉼표 [0] 2 10" xfId="1253" xr:uid="{00000000-0005-0000-0000-0000F7040000}"/>
    <cellStyle name="쉼표 [0] 2 10 2" xfId="1254" xr:uid="{00000000-0005-0000-0000-0000F8040000}"/>
    <cellStyle name="쉼표 [0] 2 10 2 2" xfId="1255" xr:uid="{00000000-0005-0000-0000-0000F9040000}"/>
    <cellStyle name="쉼표 [0] 2 10 2 2 2" xfId="1256" xr:uid="{00000000-0005-0000-0000-0000FA040000}"/>
    <cellStyle name="쉼표 [0] 2 10 2 3" xfId="1257" xr:uid="{00000000-0005-0000-0000-0000FB040000}"/>
    <cellStyle name="쉼표 [0] 2 10 3" xfId="1258" xr:uid="{00000000-0005-0000-0000-0000FC040000}"/>
    <cellStyle name="쉼표 [0] 2 10 4" xfId="1259" xr:uid="{00000000-0005-0000-0000-0000FD040000}"/>
    <cellStyle name="쉼표 [0] 2 10 5" xfId="1260" xr:uid="{00000000-0005-0000-0000-0000FE040000}"/>
    <cellStyle name="쉼표 [0] 2 10 6" xfId="1261" xr:uid="{00000000-0005-0000-0000-0000FF040000}"/>
    <cellStyle name="쉼표 [0] 2 10 7" xfId="1262" xr:uid="{00000000-0005-0000-0000-000000050000}"/>
    <cellStyle name="쉼표 [0] 2 11" xfId="1263" xr:uid="{00000000-0005-0000-0000-000001050000}"/>
    <cellStyle name="쉼표 [0] 2 11 2" xfId="1264" xr:uid="{00000000-0005-0000-0000-000002050000}"/>
    <cellStyle name="쉼표 [0] 2 11 2 2" xfId="1265" xr:uid="{00000000-0005-0000-0000-000003050000}"/>
    <cellStyle name="쉼표 [0] 2 11 2 2 2" xfId="1266" xr:uid="{00000000-0005-0000-0000-000004050000}"/>
    <cellStyle name="쉼표 [0] 2 11 2 3" xfId="1267" xr:uid="{00000000-0005-0000-0000-000005050000}"/>
    <cellStyle name="쉼표 [0] 2 11 3" xfId="1268" xr:uid="{00000000-0005-0000-0000-000006050000}"/>
    <cellStyle name="쉼표 [0] 2 11 4" xfId="1269" xr:uid="{00000000-0005-0000-0000-000007050000}"/>
    <cellStyle name="쉼표 [0] 2 11 5" xfId="1270" xr:uid="{00000000-0005-0000-0000-000008050000}"/>
    <cellStyle name="쉼표 [0] 2 11 6" xfId="1271" xr:uid="{00000000-0005-0000-0000-000009050000}"/>
    <cellStyle name="쉼표 [0] 2 11 7" xfId="1272" xr:uid="{00000000-0005-0000-0000-00000A050000}"/>
    <cellStyle name="쉼표 [0] 2 12" xfId="1273" xr:uid="{00000000-0005-0000-0000-00000B050000}"/>
    <cellStyle name="쉼표 [0] 2 12 2" xfId="1274" xr:uid="{00000000-0005-0000-0000-00000C050000}"/>
    <cellStyle name="쉼표 [0] 2 12 2 2" xfId="1275" xr:uid="{00000000-0005-0000-0000-00000D050000}"/>
    <cellStyle name="쉼표 [0] 2 12 2 2 2" xfId="1276" xr:uid="{00000000-0005-0000-0000-00000E050000}"/>
    <cellStyle name="쉼표 [0] 2 12 2 3" xfId="1277" xr:uid="{00000000-0005-0000-0000-00000F050000}"/>
    <cellStyle name="쉼표 [0] 2 12 3" xfId="1278" xr:uid="{00000000-0005-0000-0000-000010050000}"/>
    <cellStyle name="쉼표 [0] 2 12 4" xfId="1279" xr:uid="{00000000-0005-0000-0000-000011050000}"/>
    <cellStyle name="쉼표 [0] 2 12 5" xfId="1280" xr:uid="{00000000-0005-0000-0000-000012050000}"/>
    <cellStyle name="쉼표 [0] 2 12 6" xfId="1281" xr:uid="{00000000-0005-0000-0000-000013050000}"/>
    <cellStyle name="쉼표 [0] 2 12 7" xfId="1282" xr:uid="{00000000-0005-0000-0000-000014050000}"/>
    <cellStyle name="쉼표 [0] 2 13" xfId="1283" xr:uid="{00000000-0005-0000-0000-000015050000}"/>
    <cellStyle name="쉼표 [0] 2 13 2" xfId="1284" xr:uid="{00000000-0005-0000-0000-000016050000}"/>
    <cellStyle name="쉼표 [0] 2 13 2 2" xfId="1285" xr:uid="{00000000-0005-0000-0000-000017050000}"/>
    <cellStyle name="쉼표 [0] 2 13 2 2 2" xfId="1286" xr:uid="{00000000-0005-0000-0000-000018050000}"/>
    <cellStyle name="쉼표 [0] 2 13 2 3" xfId="1287" xr:uid="{00000000-0005-0000-0000-000019050000}"/>
    <cellStyle name="쉼표 [0] 2 13 3" xfId="1288" xr:uid="{00000000-0005-0000-0000-00001A050000}"/>
    <cellStyle name="쉼표 [0] 2 13 4" xfId="1289" xr:uid="{00000000-0005-0000-0000-00001B050000}"/>
    <cellStyle name="쉼표 [0] 2 13 5" xfId="1290" xr:uid="{00000000-0005-0000-0000-00001C050000}"/>
    <cellStyle name="쉼표 [0] 2 13 6" xfId="1291" xr:uid="{00000000-0005-0000-0000-00001D050000}"/>
    <cellStyle name="쉼표 [0] 2 13 7" xfId="1292" xr:uid="{00000000-0005-0000-0000-00001E050000}"/>
    <cellStyle name="쉼표 [0] 2 14" xfId="1293" xr:uid="{00000000-0005-0000-0000-00001F050000}"/>
    <cellStyle name="쉼표 [0] 2 14 2" xfId="1294" xr:uid="{00000000-0005-0000-0000-000020050000}"/>
    <cellStyle name="쉼표 [0] 2 14 2 2" xfId="1295" xr:uid="{00000000-0005-0000-0000-000021050000}"/>
    <cellStyle name="쉼표 [0] 2 14 2 2 2" xfId="1296" xr:uid="{00000000-0005-0000-0000-000022050000}"/>
    <cellStyle name="쉼표 [0] 2 14 2 3" xfId="1297" xr:uid="{00000000-0005-0000-0000-000023050000}"/>
    <cellStyle name="쉼표 [0] 2 14 3" xfId="1298" xr:uid="{00000000-0005-0000-0000-000024050000}"/>
    <cellStyle name="쉼표 [0] 2 14 4" xfId="1299" xr:uid="{00000000-0005-0000-0000-000025050000}"/>
    <cellStyle name="쉼표 [0] 2 14 5" xfId="1300" xr:uid="{00000000-0005-0000-0000-000026050000}"/>
    <cellStyle name="쉼표 [0] 2 14 6" xfId="1301" xr:uid="{00000000-0005-0000-0000-000027050000}"/>
    <cellStyle name="쉼표 [0] 2 14 7" xfId="1302" xr:uid="{00000000-0005-0000-0000-000028050000}"/>
    <cellStyle name="쉼표 [0] 2 15" xfId="1303" xr:uid="{00000000-0005-0000-0000-000029050000}"/>
    <cellStyle name="쉼표 [0] 2 15 2" xfId="1304" xr:uid="{00000000-0005-0000-0000-00002A050000}"/>
    <cellStyle name="쉼표 [0] 2 15 2 2" xfId="1305" xr:uid="{00000000-0005-0000-0000-00002B050000}"/>
    <cellStyle name="쉼표 [0] 2 15 2 2 2" xfId="1306" xr:uid="{00000000-0005-0000-0000-00002C050000}"/>
    <cellStyle name="쉼표 [0] 2 15 2 3" xfId="1307" xr:uid="{00000000-0005-0000-0000-00002D050000}"/>
    <cellStyle name="쉼표 [0] 2 15 3" xfId="1308" xr:uid="{00000000-0005-0000-0000-00002E050000}"/>
    <cellStyle name="쉼표 [0] 2 15 4" xfId="1309" xr:uid="{00000000-0005-0000-0000-00002F050000}"/>
    <cellStyle name="쉼표 [0] 2 15 5" xfId="1310" xr:uid="{00000000-0005-0000-0000-000030050000}"/>
    <cellStyle name="쉼표 [0] 2 15 6" xfId="1311" xr:uid="{00000000-0005-0000-0000-000031050000}"/>
    <cellStyle name="쉼표 [0] 2 15 7" xfId="1312" xr:uid="{00000000-0005-0000-0000-000032050000}"/>
    <cellStyle name="쉼표 [0] 2 16" xfId="1313" xr:uid="{00000000-0005-0000-0000-000033050000}"/>
    <cellStyle name="쉼표 [0] 2 16 2" xfId="1314" xr:uid="{00000000-0005-0000-0000-000034050000}"/>
    <cellStyle name="쉼표 [0] 2 16 2 2" xfId="1315" xr:uid="{00000000-0005-0000-0000-000035050000}"/>
    <cellStyle name="쉼표 [0] 2 16 2 2 2" xfId="1316" xr:uid="{00000000-0005-0000-0000-000036050000}"/>
    <cellStyle name="쉼표 [0] 2 16 2 3" xfId="1317" xr:uid="{00000000-0005-0000-0000-000037050000}"/>
    <cellStyle name="쉼표 [0] 2 16 3" xfId="1318" xr:uid="{00000000-0005-0000-0000-000038050000}"/>
    <cellStyle name="쉼표 [0] 2 16 4" xfId="1319" xr:uid="{00000000-0005-0000-0000-000039050000}"/>
    <cellStyle name="쉼표 [0] 2 16 5" xfId="1320" xr:uid="{00000000-0005-0000-0000-00003A050000}"/>
    <cellStyle name="쉼표 [0] 2 16 6" xfId="1321" xr:uid="{00000000-0005-0000-0000-00003B050000}"/>
    <cellStyle name="쉼표 [0] 2 16 7" xfId="1322" xr:uid="{00000000-0005-0000-0000-00003C050000}"/>
    <cellStyle name="쉼표 [0] 2 17" xfId="1323" xr:uid="{00000000-0005-0000-0000-00003D050000}"/>
    <cellStyle name="쉼표 [0] 2 17 2" xfId="1324" xr:uid="{00000000-0005-0000-0000-00003E050000}"/>
    <cellStyle name="쉼표 [0] 2 17 2 2" xfId="1325" xr:uid="{00000000-0005-0000-0000-00003F050000}"/>
    <cellStyle name="쉼표 [0] 2 17 2 2 2" xfId="1326" xr:uid="{00000000-0005-0000-0000-000040050000}"/>
    <cellStyle name="쉼표 [0] 2 17 2 3" xfId="1327" xr:uid="{00000000-0005-0000-0000-000041050000}"/>
    <cellStyle name="쉼표 [0] 2 17 3" xfId="1328" xr:uid="{00000000-0005-0000-0000-000042050000}"/>
    <cellStyle name="쉼표 [0] 2 17 4" xfId="1329" xr:uid="{00000000-0005-0000-0000-000043050000}"/>
    <cellStyle name="쉼표 [0] 2 17 5" xfId="1330" xr:uid="{00000000-0005-0000-0000-000044050000}"/>
    <cellStyle name="쉼표 [0] 2 17 6" xfId="1331" xr:uid="{00000000-0005-0000-0000-000045050000}"/>
    <cellStyle name="쉼표 [0] 2 17 7" xfId="1332" xr:uid="{00000000-0005-0000-0000-000046050000}"/>
    <cellStyle name="쉼표 [0] 2 18" xfId="1333" xr:uid="{00000000-0005-0000-0000-000047050000}"/>
    <cellStyle name="쉼표 [0] 2 18 2" xfId="1334" xr:uid="{00000000-0005-0000-0000-000048050000}"/>
    <cellStyle name="쉼표 [0] 2 18 2 2" xfId="1335" xr:uid="{00000000-0005-0000-0000-000049050000}"/>
    <cellStyle name="쉼표 [0] 2 18 2 2 2" xfId="1336" xr:uid="{00000000-0005-0000-0000-00004A050000}"/>
    <cellStyle name="쉼표 [0] 2 18 2 3" xfId="1337" xr:uid="{00000000-0005-0000-0000-00004B050000}"/>
    <cellStyle name="쉼표 [0] 2 18 3" xfId="1338" xr:uid="{00000000-0005-0000-0000-00004C050000}"/>
    <cellStyle name="쉼표 [0] 2 18 4" xfId="1339" xr:uid="{00000000-0005-0000-0000-00004D050000}"/>
    <cellStyle name="쉼표 [0] 2 18 5" xfId="1340" xr:uid="{00000000-0005-0000-0000-00004E050000}"/>
    <cellStyle name="쉼표 [0] 2 18 6" xfId="1341" xr:uid="{00000000-0005-0000-0000-00004F050000}"/>
    <cellStyle name="쉼표 [0] 2 18 7" xfId="1342" xr:uid="{00000000-0005-0000-0000-000050050000}"/>
    <cellStyle name="쉼표 [0] 2 19" xfId="1343" xr:uid="{00000000-0005-0000-0000-000051050000}"/>
    <cellStyle name="쉼표 [0] 2 19 10" xfId="1344" xr:uid="{00000000-0005-0000-0000-000052050000}"/>
    <cellStyle name="쉼표 [0] 2 19 11" xfId="1345" xr:uid="{00000000-0005-0000-0000-000053050000}"/>
    <cellStyle name="쉼표 [0] 2 19 12" xfId="1346" xr:uid="{00000000-0005-0000-0000-000054050000}"/>
    <cellStyle name="쉼표 [0] 2 19 2" xfId="1347" xr:uid="{00000000-0005-0000-0000-000055050000}"/>
    <cellStyle name="쉼표 [0] 2 19 2 10" xfId="1348" xr:uid="{00000000-0005-0000-0000-000056050000}"/>
    <cellStyle name="쉼표 [0] 2 19 2 10 2" xfId="1349" xr:uid="{00000000-0005-0000-0000-000057050000}"/>
    <cellStyle name="쉼표 [0] 2 19 2 11" xfId="1350" xr:uid="{00000000-0005-0000-0000-000058050000}"/>
    <cellStyle name="쉼표 [0] 2 19 2 11 2" xfId="1351" xr:uid="{00000000-0005-0000-0000-000059050000}"/>
    <cellStyle name="쉼표 [0] 2 19 2 12" xfId="1352" xr:uid="{00000000-0005-0000-0000-00005A050000}"/>
    <cellStyle name="쉼표 [0] 2 19 2 12 2" xfId="1353" xr:uid="{00000000-0005-0000-0000-00005B050000}"/>
    <cellStyle name="쉼표 [0] 2 19 2 13" xfId="1354" xr:uid="{00000000-0005-0000-0000-00005C050000}"/>
    <cellStyle name="쉼표 [0] 2 19 2 14" xfId="1355" xr:uid="{00000000-0005-0000-0000-00005D050000}"/>
    <cellStyle name="쉼표 [0] 2 19 2 15" xfId="1356" xr:uid="{00000000-0005-0000-0000-00005E050000}"/>
    <cellStyle name="쉼표 [0] 2 19 2 16" xfId="1357" xr:uid="{00000000-0005-0000-0000-00005F050000}"/>
    <cellStyle name="쉼표 [0] 2 19 2 17" xfId="1358" xr:uid="{00000000-0005-0000-0000-000060050000}"/>
    <cellStyle name="쉼표 [0] 2 19 2 2" xfId="1359" xr:uid="{00000000-0005-0000-0000-000061050000}"/>
    <cellStyle name="쉼표 [0] 2 19 2 2 2" xfId="1360" xr:uid="{00000000-0005-0000-0000-000062050000}"/>
    <cellStyle name="쉼표 [0] 2 19 2 2 2 2" xfId="1361" xr:uid="{00000000-0005-0000-0000-000063050000}"/>
    <cellStyle name="쉼표 [0] 2 19 2 2 3" xfId="1362" xr:uid="{00000000-0005-0000-0000-000064050000}"/>
    <cellStyle name="쉼표 [0] 2 19 2 2 3 2" xfId="1363" xr:uid="{00000000-0005-0000-0000-000065050000}"/>
    <cellStyle name="쉼표 [0] 2 19 2 3" xfId="1364" xr:uid="{00000000-0005-0000-0000-000066050000}"/>
    <cellStyle name="쉼표 [0] 2 19 2 3 2" xfId="1365" xr:uid="{00000000-0005-0000-0000-000067050000}"/>
    <cellStyle name="쉼표 [0] 2 19 2 4" xfId="1366" xr:uid="{00000000-0005-0000-0000-000068050000}"/>
    <cellStyle name="쉼표 [0] 2 19 2 4 2" xfId="1367" xr:uid="{00000000-0005-0000-0000-000069050000}"/>
    <cellStyle name="쉼표 [0] 2 19 2 5" xfId="1368" xr:uid="{00000000-0005-0000-0000-00006A050000}"/>
    <cellStyle name="쉼표 [0] 2 19 2 5 2" xfId="1369" xr:uid="{00000000-0005-0000-0000-00006B050000}"/>
    <cellStyle name="쉼표 [0] 2 19 2 6" xfId="1370" xr:uid="{00000000-0005-0000-0000-00006C050000}"/>
    <cellStyle name="쉼표 [0] 2 19 2 6 2" xfId="1371" xr:uid="{00000000-0005-0000-0000-00006D050000}"/>
    <cellStyle name="쉼표 [0] 2 19 2 7" xfId="1372" xr:uid="{00000000-0005-0000-0000-00006E050000}"/>
    <cellStyle name="쉼표 [0] 2 19 2 7 2" xfId="1373" xr:uid="{00000000-0005-0000-0000-00006F050000}"/>
    <cellStyle name="쉼표 [0] 2 19 2 8" xfId="1374" xr:uid="{00000000-0005-0000-0000-000070050000}"/>
    <cellStyle name="쉼표 [0] 2 19 2 8 2" xfId="1375" xr:uid="{00000000-0005-0000-0000-000071050000}"/>
    <cellStyle name="쉼표 [0] 2 19 2 9" xfId="1376" xr:uid="{00000000-0005-0000-0000-000072050000}"/>
    <cellStyle name="쉼표 [0] 2 19 2 9 2" xfId="1377" xr:uid="{00000000-0005-0000-0000-000073050000}"/>
    <cellStyle name="쉼표 [0] 2 19 3" xfId="1378" xr:uid="{00000000-0005-0000-0000-000074050000}"/>
    <cellStyle name="쉼표 [0] 2 19 3 2" xfId="1379" xr:uid="{00000000-0005-0000-0000-000075050000}"/>
    <cellStyle name="쉼표 [0] 2 19 3 3" xfId="1380" xr:uid="{00000000-0005-0000-0000-000076050000}"/>
    <cellStyle name="쉼표 [0] 2 19 4" xfId="1381" xr:uid="{00000000-0005-0000-0000-000077050000}"/>
    <cellStyle name="쉼표 [0] 2 19 5" xfId="1382" xr:uid="{00000000-0005-0000-0000-000078050000}"/>
    <cellStyle name="쉼표 [0] 2 19 6" xfId="1383" xr:uid="{00000000-0005-0000-0000-000079050000}"/>
    <cellStyle name="쉼표 [0] 2 19 7" xfId="1384" xr:uid="{00000000-0005-0000-0000-00007A050000}"/>
    <cellStyle name="쉼표 [0] 2 19 8" xfId="1385" xr:uid="{00000000-0005-0000-0000-00007B050000}"/>
    <cellStyle name="쉼표 [0] 2 19 9" xfId="1386" xr:uid="{00000000-0005-0000-0000-00007C050000}"/>
    <cellStyle name="쉼표 [0] 2 2" xfId="1387" xr:uid="{00000000-0005-0000-0000-00007D050000}"/>
    <cellStyle name="쉼표 [0] 2 2 2" xfId="1388" xr:uid="{00000000-0005-0000-0000-00007E050000}"/>
    <cellStyle name="쉼표 [0] 2 2 2 2" xfId="1389" xr:uid="{00000000-0005-0000-0000-00007F050000}"/>
    <cellStyle name="쉼표 [0] 2 2 2 2 2" xfId="1390" xr:uid="{00000000-0005-0000-0000-000080050000}"/>
    <cellStyle name="쉼표 [0] 2 2 2 2 2 2" xfId="1391" xr:uid="{00000000-0005-0000-0000-000081050000}"/>
    <cellStyle name="쉼표 [0] 2 2 2 3" xfId="1392" xr:uid="{00000000-0005-0000-0000-000082050000}"/>
    <cellStyle name="쉼표 [0] 2 2 2 3 2" xfId="1393" xr:uid="{00000000-0005-0000-0000-000083050000}"/>
    <cellStyle name="쉼표 [0] 2 2 2 4" xfId="1394" xr:uid="{00000000-0005-0000-0000-000084050000}"/>
    <cellStyle name="쉼표 [0] 2 2 3" xfId="1395" xr:uid="{00000000-0005-0000-0000-000085050000}"/>
    <cellStyle name="쉼표 [0] 2 2 3 2" xfId="3218" xr:uid="{00000000-0005-0000-0000-000086050000}"/>
    <cellStyle name="쉼표 [0] 2 2 4" xfId="1396" xr:uid="{00000000-0005-0000-0000-000087050000}"/>
    <cellStyle name="쉼표 [0] 2 2 5" xfId="1397" xr:uid="{00000000-0005-0000-0000-000088050000}"/>
    <cellStyle name="쉼표 [0] 2 2 6" xfId="1398" xr:uid="{00000000-0005-0000-0000-000089050000}"/>
    <cellStyle name="쉼표 [0] 2 2 7" xfId="1399" xr:uid="{00000000-0005-0000-0000-00008A050000}"/>
    <cellStyle name="쉼표 [0] 2 20" xfId="1400" xr:uid="{00000000-0005-0000-0000-00008B050000}"/>
    <cellStyle name="쉼표 [0] 2 20 2" xfId="1401" xr:uid="{00000000-0005-0000-0000-00008C050000}"/>
    <cellStyle name="쉼표 [0] 2 20 2 2" xfId="1402" xr:uid="{00000000-0005-0000-0000-00008D050000}"/>
    <cellStyle name="쉼표 [0] 2 20 2 2 2" xfId="1403" xr:uid="{00000000-0005-0000-0000-00008E050000}"/>
    <cellStyle name="쉼표 [0] 2 20 2 3" xfId="1404" xr:uid="{00000000-0005-0000-0000-00008F050000}"/>
    <cellStyle name="쉼표 [0] 2 20 3" xfId="1405" xr:uid="{00000000-0005-0000-0000-000090050000}"/>
    <cellStyle name="쉼표 [0] 2 20 4" xfId="1406" xr:uid="{00000000-0005-0000-0000-000091050000}"/>
    <cellStyle name="쉼표 [0] 2 20 5" xfId="1407" xr:uid="{00000000-0005-0000-0000-000092050000}"/>
    <cellStyle name="쉼표 [0] 2 20 6" xfId="1408" xr:uid="{00000000-0005-0000-0000-000093050000}"/>
    <cellStyle name="쉼표 [0] 2 20 7" xfId="1409" xr:uid="{00000000-0005-0000-0000-000094050000}"/>
    <cellStyle name="쉼표 [0] 2 21" xfId="1410" xr:uid="{00000000-0005-0000-0000-000095050000}"/>
    <cellStyle name="쉼표 [0] 2 21 10" xfId="1411" xr:uid="{00000000-0005-0000-0000-000096050000}"/>
    <cellStyle name="쉼표 [0] 2 21 11" xfId="1412" xr:uid="{00000000-0005-0000-0000-000097050000}"/>
    <cellStyle name="쉼표 [0] 2 21 12" xfId="1413" xr:uid="{00000000-0005-0000-0000-000098050000}"/>
    <cellStyle name="쉼표 [0] 2 21 2" xfId="1414" xr:uid="{00000000-0005-0000-0000-000099050000}"/>
    <cellStyle name="쉼표 [0] 2 21 2 2" xfId="1415" xr:uid="{00000000-0005-0000-0000-00009A050000}"/>
    <cellStyle name="쉼표 [0] 2 21 2 3" xfId="1416" xr:uid="{00000000-0005-0000-0000-00009B050000}"/>
    <cellStyle name="쉼표 [0] 2 21 3" xfId="1417" xr:uid="{00000000-0005-0000-0000-00009C050000}"/>
    <cellStyle name="쉼표 [0] 2 21 4" xfId="1418" xr:uid="{00000000-0005-0000-0000-00009D050000}"/>
    <cellStyle name="쉼표 [0] 2 21 5" xfId="1419" xr:uid="{00000000-0005-0000-0000-00009E050000}"/>
    <cellStyle name="쉼표 [0] 2 21 6" xfId="1420" xr:uid="{00000000-0005-0000-0000-00009F050000}"/>
    <cellStyle name="쉼표 [0] 2 21 7" xfId="1421" xr:uid="{00000000-0005-0000-0000-0000A0050000}"/>
    <cellStyle name="쉼표 [0] 2 21 8" xfId="1422" xr:uid="{00000000-0005-0000-0000-0000A1050000}"/>
    <cellStyle name="쉼표 [0] 2 21 9" xfId="1423" xr:uid="{00000000-0005-0000-0000-0000A2050000}"/>
    <cellStyle name="쉼표 [0] 2 22" xfId="1424" xr:uid="{00000000-0005-0000-0000-0000A3050000}"/>
    <cellStyle name="쉼표 [0] 2 22 2" xfId="1425" xr:uid="{00000000-0005-0000-0000-0000A4050000}"/>
    <cellStyle name="쉼표 [0] 2 22 2 2" xfId="1426" xr:uid="{00000000-0005-0000-0000-0000A5050000}"/>
    <cellStyle name="쉼표 [0] 2 22 2 2 2" xfId="1427" xr:uid="{00000000-0005-0000-0000-0000A6050000}"/>
    <cellStyle name="쉼표 [0] 2 22 2 3" xfId="1428" xr:uid="{00000000-0005-0000-0000-0000A7050000}"/>
    <cellStyle name="쉼표 [0] 2 22 3" xfId="1429" xr:uid="{00000000-0005-0000-0000-0000A8050000}"/>
    <cellStyle name="쉼표 [0] 2 22 4" xfId="1430" xr:uid="{00000000-0005-0000-0000-0000A9050000}"/>
    <cellStyle name="쉼표 [0] 2 22 5" xfId="1431" xr:uid="{00000000-0005-0000-0000-0000AA050000}"/>
    <cellStyle name="쉼표 [0] 2 22 6" xfId="1432" xr:uid="{00000000-0005-0000-0000-0000AB050000}"/>
    <cellStyle name="쉼표 [0] 2 22 7" xfId="1433" xr:uid="{00000000-0005-0000-0000-0000AC050000}"/>
    <cellStyle name="쉼표 [0] 2 23" xfId="1434" xr:uid="{00000000-0005-0000-0000-0000AD050000}"/>
    <cellStyle name="쉼표 [0] 2 23 2" xfId="1435" xr:uid="{00000000-0005-0000-0000-0000AE050000}"/>
    <cellStyle name="쉼표 [0] 2 23 2 2" xfId="1436" xr:uid="{00000000-0005-0000-0000-0000AF050000}"/>
    <cellStyle name="쉼표 [0] 2 23 2 2 2" xfId="1437" xr:uid="{00000000-0005-0000-0000-0000B0050000}"/>
    <cellStyle name="쉼표 [0] 2 23 2 3" xfId="1438" xr:uid="{00000000-0005-0000-0000-0000B1050000}"/>
    <cellStyle name="쉼표 [0] 2 23 3" xfId="1439" xr:uid="{00000000-0005-0000-0000-0000B2050000}"/>
    <cellStyle name="쉼표 [0] 2 23 4" xfId="1440" xr:uid="{00000000-0005-0000-0000-0000B3050000}"/>
    <cellStyle name="쉼표 [0] 2 23 5" xfId="1441" xr:uid="{00000000-0005-0000-0000-0000B4050000}"/>
    <cellStyle name="쉼표 [0] 2 23 6" xfId="1442" xr:uid="{00000000-0005-0000-0000-0000B5050000}"/>
    <cellStyle name="쉼표 [0] 2 23 7" xfId="1443" xr:uid="{00000000-0005-0000-0000-0000B6050000}"/>
    <cellStyle name="쉼표 [0] 2 24" xfId="1444" xr:uid="{00000000-0005-0000-0000-0000B7050000}"/>
    <cellStyle name="쉼표 [0] 2 24 2" xfId="1445" xr:uid="{00000000-0005-0000-0000-0000B8050000}"/>
    <cellStyle name="쉼표 [0] 2 24 2 2" xfId="1446" xr:uid="{00000000-0005-0000-0000-0000B9050000}"/>
    <cellStyle name="쉼표 [0] 2 24 2 2 2" xfId="1447" xr:uid="{00000000-0005-0000-0000-0000BA050000}"/>
    <cellStyle name="쉼표 [0] 2 24 2 3" xfId="1448" xr:uid="{00000000-0005-0000-0000-0000BB050000}"/>
    <cellStyle name="쉼표 [0] 2 24 3" xfId="1449" xr:uid="{00000000-0005-0000-0000-0000BC050000}"/>
    <cellStyle name="쉼표 [0] 2 24 4" xfId="1450" xr:uid="{00000000-0005-0000-0000-0000BD050000}"/>
    <cellStyle name="쉼표 [0] 2 24 5" xfId="1451" xr:uid="{00000000-0005-0000-0000-0000BE050000}"/>
    <cellStyle name="쉼표 [0] 2 24 6" xfId="1452" xr:uid="{00000000-0005-0000-0000-0000BF050000}"/>
    <cellStyle name="쉼표 [0] 2 24 7" xfId="1453" xr:uid="{00000000-0005-0000-0000-0000C0050000}"/>
    <cellStyle name="쉼표 [0] 2 25" xfId="1454" xr:uid="{00000000-0005-0000-0000-0000C1050000}"/>
    <cellStyle name="쉼표 [0] 2 25 2" xfId="1455" xr:uid="{00000000-0005-0000-0000-0000C2050000}"/>
    <cellStyle name="쉼표 [0] 2 25 2 2" xfId="1456" xr:uid="{00000000-0005-0000-0000-0000C3050000}"/>
    <cellStyle name="쉼표 [0] 2 25 2 2 2" xfId="1457" xr:uid="{00000000-0005-0000-0000-0000C4050000}"/>
    <cellStyle name="쉼표 [0] 2 25 2 3" xfId="1458" xr:uid="{00000000-0005-0000-0000-0000C5050000}"/>
    <cellStyle name="쉼표 [0] 2 25 3" xfId="1459" xr:uid="{00000000-0005-0000-0000-0000C6050000}"/>
    <cellStyle name="쉼표 [0] 2 25 4" xfId="1460" xr:uid="{00000000-0005-0000-0000-0000C7050000}"/>
    <cellStyle name="쉼표 [0] 2 25 5" xfId="1461" xr:uid="{00000000-0005-0000-0000-0000C8050000}"/>
    <cellStyle name="쉼표 [0] 2 25 6" xfId="1462" xr:uid="{00000000-0005-0000-0000-0000C9050000}"/>
    <cellStyle name="쉼표 [0] 2 25 7" xfId="1463" xr:uid="{00000000-0005-0000-0000-0000CA050000}"/>
    <cellStyle name="쉼표 [0] 2 26" xfId="1464" xr:uid="{00000000-0005-0000-0000-0000CB050000}"/>
    <cellStyle name="쉼표 [0] 2 26 2" xfId="1465" xr:uid="{00000000-0005-0000-0000-0000CC050000}"/>
    <cellStyle name="쉼표 [0] 2 26 2 2" xfId="1466" xr:uid="{00000000-0005-0000-0000-0000CD050000}"/>
    <cellStyle name="쉼표 [0] 2 26 2 2 2" xfId="1467" xr:uid="{00000000-0005-0000-0000-0000CE050000}"/>
    <cellStyle name="쉼표 [0] 2 26 2 3" xfId="1468" xr:uid="{00000000-0005-0000-0000-0000CF050000}"/>
    <cellStyle name="쉼표 [0] 2 26 3" xfId="1469" xr:uid="{00000000-0005-0000-0000-0000D0050000}"/>
    <cellStyle name="쉼표 [0] 2 26 4" xfId="1470" xr:uid="{00000000-0005-0000-0000-0000D1050000}"/>
    <cellStyle name="쉼표 [0] 2 26 5" xfId="1471" xr:uid="{00000000-0005-0000-0000-0000D2050000}"/>
    <cellStyle name="쉼표 [0] 2 26 6" xfId="1472" xr:uid="{00000000-0005-0000-0000-0000D3050000}"/>
    <cellStyle name="쉼표 [0] 2 26 7" xfId="1473" xr:uid="{00000000-0005-0000-0000-0000D4050000}"/>
    <cellStyle name="쉼표 [0] 2 27" xfId="1474" xr:uid="{00000000-0005-0000-0000-0000D5050000}"/>
    <cellStyle name="쉼표 [0] 2 27 2" xfId="1475" xr:uid="{00000000-0005-0000-0000-0000D6050000}"/>
    <cellStyle name="쉼표 [0] 2 27 2 2" xfId="1476" xr:uid="{00000000-0005-0000-0000-0000D7050000}"/>
    <cellStyle name="쉼표 [0] 2 27 2 2 2" xfId="1477" xr:uid="{00000000-0005-0000-0000-0000D8050000}"/>
    <cellStyle name="쉼표 [0] 2 27 2 3" xfId="1478" xr:uid="{00000000-0005-0000-0000-0000D9050000}"/>
    <cellStyle name="쉼표 [0] 2 27 3" xfId="1479" xr:uid="{00000000-0005-0000-0000-0000DA050000}"/>
    <cellStyle name="쉼표 [0] 2 27 4" xfId="1480" xr:uid="{00000000-0005-0000-0000-0000DB050000}"/>
    <cellStyle name="쉼표 [0] 2 27 5" xfId="1481" xr:uid="{00000000-0005-0000-0000-0000DC050000}"/>
    <cellStyle name="쉼표 [0] 2 27 6" xfId="1482" xr:uid="{00000000-0005-0000-0000-0000DD050000}"/>
    <cellStyle name="쉼표 [0] 2 27 7" xfId="1483" xr:uid="{00000000-0005-0000-0000-0000DE050000}"/>
    <cellStyle name="쉼표 [0] 2 28" xfId="1484" xr:uid="{00000000-0005-0000-0000-0000DF050000}"/>
    <cellStyle name="쉼표 [0] 2 28 2" xfId="1485" xr:uid="{00000000-0005-0000-0000-0000E0050000}"/>
    <cellStyle name="쉼표 [0] 2 28 2 2" xfId="1486" xr:uid="{00000000-0005-0000-0000-0000E1050000}"/>
    <cellStyle name="쉼표 [0] 2 28 2 2 2" xfId="1487" xr:uid="{00000000-0005-0000-0000-0000E2050000}"/>
    <cellStyle name="쉼표 [0] 2 28 2 3" xfId="1488" xr:uid="{00000000-0005-0000-0000-0000E3050000}"/>
    <cellStyle name="쉼표 [0] 2 28 3" xfId="1489" xr:uid="{00000000-0005-0000-0000-0000E4050000}"/>
    <cellStyle name="쉼표 [0] 2 28 4" xfId="1490" xr:uid="{00000000-0005-0000-0000-0000E5050000}"/>
    <cellStyle name="쉼표 [0] 2 28 5" xfId="1491" xr:uid="{00000000-0005-0000-0000-0000E6050000}"/>
    <cellStyle name="쉼표 [0] 2 28 6" xfId="1492" xr:uid="{00000000-0005-0000-0000-0000E7050000}"/>
    <cellStyle name="쉼표 [0] 2 28 7" xfId="1493" xr:uid="{00000000-0005-0000-0000-0000E8050000}"/>
    <cellStyle name="쉼표 [0] 2 29" xfId="1494" xr:uid="{00000000-0005-0000-0000-0000E9050000}"/>
    <cellStyle name="쉼표 [0] 2 29 2" xfId="1495" xr:uid="{00000000-0005-0000-0000-0000EA050000}"/>
    <cellStyle name="쉼표 [0] 2 29 2 2" xfId="1496" xr:uid="{00000000-0005-0000-0000-0000EB050000}"/>
    <cellStyle name="쉼표 [0] 2 29 2 2 2" xfId="1497" xr:uid="{00000000-0005-0000-0000-0000EC050000}"/>
    <cellStyle name="쉼표 [0] 2 29 2 3" xfId="1498" xr:uid="{00000000-0005-0000-0000-0000ED050000}"/>
    <cellStyle name="쉼표 [0] 2 29 3" xfId="1499" xr:uid="{00000000-0005-0000-0000-0000EE050000}"/>
    <cellStyle name="쉼표 [0] 2 29 4" xfId="1500" xr:uid="{00000000-0005-0000-0000-0000EF050000}"/>
    <cellStyle name="쉼표 [0] 2 29 5" xfId="1501" xr:uid="{00000000-0005-0000-0000-0000F0050000}"/>
    <cellStyle name="쉼표 [0] 2 29 6" xfId="1502" xr:uid="{00000000-0005-0000-0000-0000F1050000}"/>
    <cellStyle name="쉼표 [0] 2 29 7" xfId="1503" xr:uid="{00000000-0005-0000-0000-0000F2050000}"/>
    <cellStyle name="쉼표 [0] 2 3" xfId="1504" xr:uid="{00000000-0005-0000-0000-0000F3050000}"/>
    <cellStyle name="쉼표 [0] 2 3 2" xfId="1505" xr:uid="{00000000-0005-0000-0000-0000F4050000}"/>
    <cellStyle name="쉼표 [0] 2 3 2 2" xfId="1506" xr:uid="{00000000-0005-0000-0000-0000F5050000}"/>
    <cellStyle name="쉼표 [0] 2 3 2 2 2" xfId="1507" xr:uid="{00000000-0005-0000-0000-0000F6050000}"/>
    <cellStyle name="쉼표 [0] 2 3 2 3" xfId="1508" xr:uid="{00000000-0005-0000-0000-0000F7050000}"/>
    <cellStyle name="쉼표 [0] 2 3 3" xfId="1509" xr:uid="{00000000-0005-0000-0000-0000F8050000}"/>
    <cellStyle name="쉼표 [0] 2 3 4" xfId="1510" xr:uid="{00000000-0005-0000-0000-0000F9050000}"/>
    <cellStyle name="쉼표 [0] 2 3 5" xfId="1511" xr:uid="{00000000-0005-0000-0000-0000FA050000}"/>
    <cellStyle name="쉼표 [0] 2 3 6" xfId="1512" xr:uid="{00000000-0005-0000-0000-0000FB050000}"/>
    <cellStyle name="쉼표 [0] 2 3 7" xfId="1513" xr:uid="{00000000-0005-0000-0000-0000FC050000}"/>
    <cellStyle name="쉼표 [0] 2 30" xfId="1514" xr:uid="{00000000-0005-0000-0000-0000FD050000}"/>
    <cellStyle name="쉼표 [0] 2 30 2" xfId="1515" xr:uid="{00000000-0005-0000-0000-0000FE050000}"/>
    <cellStyle name="쉼표 [0] 2 30 2 2" xfId="1516" xr:uid="{00000000-0005-0000-0000-0000FF050000}"/>
    <cellStyle name="쉼표 [0] 2 30 3" xfId="1517" xr:uid="{00000000-0005-0000-0000-000000060000}"/>
    <cellStyle name="쉼표 [0] 2 30 3 2" xfId="1518" xr:uid="{00000000-0005-0000-0000-000001060000}"/>
    <cellStyle name="쉼표 [0] 2 31" xfId="1519" xr:uid="{00000000-0005-0000-0000-000002060000}"/>
    <cellStyle name="쉼표 [0] 2 31 2" xfId="1520" xr:uid="{00000000-0005-0000-0000-000003060000}"/>
    <cellStyle name="쉼표 [0] 2 32" xfId="1521" xr:uid="{00000000-0005-0000-0000-000004060000}"/>
    <cellStyle name="쉼표 [0] 2 32 2" xfId="1522" xr:uid="{00000000-0005-0000-0000-000005060000}"/>
    <cellStyle name="쉼표 [0] 2 33" xfId="1523" xr:uid="{00000000-0005-0000-0000-000006060000}"/>
    <cellStyle name="쉼표 [0] 2 33 2" xfId="1524" xr:uid="{00000000-0005-0000-0000-000007060000}"/>
    <cellStyle name="쉼표 [0] 2 34" xfId="1525" xr:uid="{00000000-0005-0000-0000-000008060000}"/>
    <cellStyle name="쉼표 [0] 2 34 2" xfId="1526" xr:uid="{00000000-0005-0000-0000-000009060000}"/>
    <cellStyle name="쉼표 [0] 2 35" xfId="1527" xr:uid="{00000000-0005-0000-0000-00000A060000}"/>
    <cellStyle name="쉼표 [0] 2 35 2" xfId="1528" xr:uid="{00000000-0005-0000-0000-00000B060000}"/>
    <cellStyle name="쉼표 [0] 2 36" xfId="1529" xr:uid="{00000000-0005-0000-0000-00000C060000}"/>
    <cellStyle name="쉼표 [0] 2 36 2" xfId="1530" xr:uid="{00000000-0005-0000-0000-00000D060000}"/>
    <cellStyle name="쉼표 [0] 2 37" xfId="1531" xr:uid="{00000000-0005-0000-0000-00000E060000}"/>
    <cellStyle name="쉼표 [0] 2 37 2" xfId="1532" xr:uid="{00000000-0005-0000-0000-00000F060000}"/>
    <cellStyle name="쉼표 [0] 2 38" xfId="1533" xr:uid="{00000000-0005-0000-0000-000010060000}"/>
    <cellStyle name="쉼표 [0] 2 38 2" xfId="1534" xr:uid="{00000000-0005-0000-0000-000011060000}"/>
    <cellStyle name="쉼표 [0] 2 39" xfId="1535" xr:uid="{00000000-0005-0000-0000-000012060000}"/>
    <cellStyle name="쉼표 [0] 2 39 2" xfId="1536" xr:uid="{00000000-0005-0000-0000-000013060000}"/>
    <cellStyle name="쉼표 [0] 2 4" xfId="1537" xr:uid="{00000000-0005-0000-0000-000014060000}"/>
    <cellStyle name="쉼표 [0] 2 4 2" xfId="1538" xr:uid="{00000000-0005-0000-0000-000015060000}"/>
    <cellStyle name="쉼표 [0] 2 4 2 2" xfId="1539" xr:uid="{00000000-0005-0000-0000-000016060000}"/>
    <cellStyle name="쉼표 [0] 2 4 2 2 2" xfId="1540" xr:uid="{00000000-0005-0000-0000-000017060000}"/>
    <cellStyle name="쉼표 [0] 2 4 2 3" xfId="1541" xr:uid="{00000000-0005-0000-0000-000018060000}"/>
    <cellStyle name="쉼표 [0] 2 4 3" xfId="1542" xr:uid="{00000000-0005-0000-0000-000019060000}"/>
    <cellStyle name="쉼표 [0] 2 4 4" xfId="1543" xr:uid="{00000000-0005-0000-0000-00001A060000}"/>
    <cellStyle name="쉼표 [0] 2 4 5" xfId="1544" xr:uid="{00000000-0005-0000-0000-00001B060000}"/>
    <cellStyle name="쉼표 [0] 2 4 6" xfId="1545" xr:uid="{00000000-0005-0000-0000-00001C060000}"/>
    <cellStyle name="쉼표 [0] 2 4 7" xfId="1546" xr:uid="{00000000-0005-0000-0000-00001D060000}"/>
    <cellStyle name="쉼표 [0] 2 40" xfId="1547" xr:uid="{00000000-0005-0000-0000-00001E060000}"/>
    <cellStyle name="쉼표 [0] 2 40 2" xfId="1548" xr:uid="{00000000-0005-0000-0000-00001F060000}"/>
    <cellStyle name="쉼표 [0] 2 41" xfId="1549" xr:uid="{00000000-0005-0000-0000-000020060000}"/>
    <cellStyle name="쉼표 [0] 2 41 2" xfId="1550" xr:uid="{00000000-0005-0000-0000-000021060000}"/>
    <cellStyle name="쉼표 [0] 2 42" xfId="1551" xr:uid="{00000000-0005-0000-0000-000022060000}"/>
    <cellStyle name="쉼표 [0] 2 42 2" xfId="1552" xr:uid="{00000000-0005-0000-0000-000023060000}"/>
    <cellStyle name="쉼표 [0] 2 43" xfId="1553" xr:uid="{00000000-0005-0000-0000-000024060000}"/>
    <cellStyle name="쉼표 [0] 2 43 2" xfId="1554" xr:uid="{00000000-0005-0000-0000-000025060000}"/>
    <cellStyle name="쉼표 [0] 2 44" xfId="1555" xr:uid="{00000000-0005-0000-0000-000026060000}"/>
    <cellStyle name="쉼표 [0] 2 44 2" xfId="1556" xr:uid="{00000000-0005-0000-0000-000027060000}"/>
    <cellStyle name="쉼표 [0] 2 45" xfId="1557" xr:uid="{00000000-0005-0000-0000-000028060000}"/>
    <cellStyle name="쉼표 [0] 2 45 2" xfId="1558" xr:uid="{00000000-0005-0000-0000-000029060000}"/>
    <cellStyle name="쉼표 [0] 2 46" xfId="1559" xr:uid="{00000000-0005-0000-0000-00002A060000}"/>
    <cellStyle name="쉼표 [0] 2 46 2" xfId="1560" xr:uid="{00000000-0005-0000-0000-00002B060000}"/>
    <cellStyle name="쉼표 [0] 2 47" xfId="1561" xr:uid="{00000000-0005-0000-0000-00002C060000}"/>
    <cellStyle name="쉼표 [0] 2 47 2" xfId="1562" xr:uid="{00000000-0005-0000-0000-00002D060000}"/>
    <cellStyle name="쉼표 [0] 2 48" xfId="1563" xr:uid="{00000000-0005-0000-0000-00002E060000}"/>
    <cellStyle name="쉼표 [0] 2 48 2" xfId="1564" xr:uid="{00000000-0005-0000-0000-00002F060000}"/>
    <cellStyle name="쉼표 [0] 2 49" xfId="1565" xr:uid="{00000000-0005-0000-0000-000030060000}"/>
    <cellStyle name="쉼표 [0] 2 49 2" xfId="1566" xr:uid="{00000000-0005-0000-0000-000031060000}"/>
    <cellStyle name="쉼표 [0] 2 5" xfId="1567" xr:uid="{00000000-0005-0000-0000-000032060000}"/>
    <cellStyle name="쉼표 [0] 2 5 2" xfId="1568" xr:uid="{00000000-0005-0000-0000-000033060000}"/>
    <cellStyle name="쉼표 [0] 2 5 2 2" xfId="1569" xr:uid="{00000000-0005-0000-0000-000034060000}"/>
    <cellStyle name="쉼표 [0] 2 5 2 2 2" xfId="1570" xr:uid="{00000000-0005-0000-0000-000035060000}"/>
    <cellStyle name="쉼표 [0] 2 5 2 3" xfId="1571" xr:uid="{00000000-0005-0000-0000-000036060000}"/>
    <cellStyle name="쉼표 [0] 2 5 3" xfId="1572" xr:uid="{00000000-0005-0000-0000-000037060000}"/>
    <cellStyle name="쉼표 [0] 2 5 4" xfId="1573" xr:uid="{00000000-0005-0000-0000-000038060000}"/>
    <cellStyle name="쉼표 [0] 2 5 5" xfId="1574" xr:uid="{00000000-0005-0000-0000-000039060000}"/>
    <cellStyle name="쉼표 [0] 2 5 6" xfId="1575" xr:uid="{00000000-0005-0000-0000-00003A060000}"/>
    <cellStyle name="쉼표 [0] 2 5 7" xfId="1576" xr:uid="{00000000-0005-0000-0000-00003B060000}"/>
    <cellStyle name="쉼표 [0] 2 50" xfId="1577" xr:uid="{00000000-0005-0000-0000-00003C060000}"/>
    <cellStyle name="쉼표 [0] 2 51" xfId="1578" xr:uid="{00000000-0005-0000-0000-00003D060000}"/>
    <cellStyle name="쉼표 [0] 2 52" xfId="3146" xr:uid="{00000000-0005-0000-0000-00003E060000}"/>
    <cellStyle name="쉼표 [0] 2 53" xfId="1252" xr:uid="{00000000-0005-0000-0000-00003F060000}"/>
    <cellStyle name="쉼표 [0] 2 6" xfId="1579" xr:uid="{00000000-0005-0000-0000-000040060000}"/>
    <cellStyle name="쉼표 [0] 2 6 2" xfId="1580" xr:uid="{00000000-0005-0000-0000-000041060000}"/>
    <cellStyle name="쉼표 [0] 2 6 2 2" xfId="1581" xr:uid="{00000000-0005-0000-0000-000042060000}"/>
    <cellStyle name="쉼표 [0] 2 6 2 2 2" xfId="1582" xr:uid="{00000000-0005-0000-0000-000043060000}"/>
    <cellStyle name="쉼표 [0] 2 6 2 3" xfId="1583" xr:uid="{00000000-0005-0000-0000-000044060000}"/>
    <cellStyle name="쉼표 [0] 2 6 3" xfId="1584" xr:uid="{00000000-0005-0000-0000-000045060000}"/>
    <cellStyle name="쉼표 [0] 2 6 4" xfId="1585" xr:uid="{00000000-0005-0000-0000-000046060000}"/>
    <cellStyle name="쉼표 [0] 2 6 5" xfId="1586" xr:uid="{00000000-0005-0000-0000-000047060000}"/>
    <cellStyle name="쉼표 [0] 2 6 6" xfId="1587" xr:uid="{00000000-0005-0000-0000-000048060000}"/>
    <cellStyle name="쉼표 [0] 2 6 7" xfId="1588" xr:uid="{00000000-0005-0000-0000-000049060000}"/>
    <cellStyle name="쉼표 [0] 2 7" xfId="1589" xr:uid="{00000000-0005-0000-0000-00004A060000}"/>
    <cellStyle name="쉼표 [0] 2 7 2" xfId="1590" xr:uid="{00000000-0005-0000-0000-00004B060000}"/>
    <cellStyle name="쉼표 [0] 2 7 2 2" xfId="1591" xr:uid="{00000000-0005-0000-0000-00004C060000}"/>
    <cellStyle name="쉼표 [0] 2 7 2 2 2" xfId="1592" xr:uid="{00000000-0005-0000-0000-00004D060000}"/>
    <cellStyle name="쉼표 [0] 2 7 2 3" xfId="1593" xr:uid="{00000000-0005-0000-0000-00004E060000}"/>
    <cellStyle name="쉼표 [0] 2 7 3" xfId="1594" xr:uid="{00000000-0005-0000-0000-00004F060000}"/>
    <cellStyle name="쉼표 [0] 2 7 4" xfId="1595" xr:uid="{00000000-0005-0000-0000-000050060000}"/>
    <cellStyle name="쉼표 [0] 2 7 5" xfId="1596" xr:uid="{00000000-0005-0000-0000-000051060000}"/>
    <cellStyle name="쉼표 [0] 2 7 6" xfId="1597" xr:uid="{00000000-0005-0000-0000-000052060000}"/>
    <cellStyle name="쉼표 [0] 2 7 7" xfId="1598" xr:uid="{00000000-0005-0000-0000-000053060000}"/>
    <cellStyle name="쉼표 [0] 2 8" xfId="1599" xr:uid="{00000000-0005-0000-0000-000054060000}"/>
    <cellStyle name="쉼표 [0] 2 8 2" xfId="1600" xr:uid="{00000000-0005-0000-0000-000055060000}"/>
    <cellStyle name="쉼표 [0] 2 8 2 2" xfId="1601" xr:uid="{00000000-0005-0000-0000-000056060000}"/>
    <cellStyle name="쉼표 [0] 2 8 2 2 2" xfId="1602" xr:uid="{00000000-0005-0000-0000-000057060000}"/>
    <cellStyle name="쉼표 [0] 2 8 2 3" xfId="1603" xr:uid="{00000000-0005-0000-0000-000058060000}"/>
    <cellStyle name="쉼표 [0] 2 8 3" xfId="1604" xr:uid="{00000000-0005-0000-0000-000059060000}"/>
    <cellStyle name="쉼표 [0] 2 8 4" xfId="1605" xr:uid="{00000000-0005-0000-0000-00005A060000}"/>
    <cellStyle name="쉼표 [0] 2 8 5" xfId="1606" xr:uid="{00000000-0005-0000-0000-00005B060000}"/>
    <cellStyle name="쉼표 [0] 2 8 6" xfId="1607" xr:uid="{00000000-0005-0000-0000-00005C060000}"/>
    <cellStyle name="쉼표 [0] 2 8 7" xfId="1608" xr:uid="{00000000-0005-0000-0000-00005D060000}"/>
    <cellStyle name="쉼표 [0] 2 9" xfId="1609" xr:uid="{00000000-0005-0000-0000-00005E060000}"/>
    <cellStyle name="쉼표 [0] 2 9 2" xfId="1610" xr:uid="{00000000-0005-0000-0000-00005F060000}"/>
    <cellStyle name="쉼표 [0] 2 9 2 2" xfId="1611" xr:uid="{00000000-0005-0000-0000-000060060000}"/>
    <cellStyle name="쉼표 [0] 2 9 2 2 2" xfId="1612" xr:uid="{00000000-0005-0000-0000-000061060000}"/>
    <cellStyle name="쉼표 [0] 2 9 2 3" xfId="1613" xr:uid="{00000000-0005-0000-0000-000062060000}"/>
    <cellStyle name="쉼표 [0] 2 9 3" xfId="1614" xr:uid="{00000000-0005-0000-0000-000063060000}"/>
    <cellStyle name="쉼표 [0] 2 9 4" xfId="1615" xr:uid="{00000000-0005-0000-0000-000064060000}"/>
    <cellStyle name="쉼표 [0] 2 9 5" xfId="1616" xr:uid="{00000000-0005-0000-0000-000065060000}"/>
    <cellStyle name="쉼표 [0] 2 9 6" xfId="1617" xr:uid="{00000000-0005-0000-0000-000066060000}"/>
    <cellStyle name="쉼표 [0] 2 9 7" xfId="1618" xr:uid="{00000000-0005-0000-0000-000067060000}"/>
    <cellStyle name="쉼표 [0] 20" xfId="1619" xr:uid="{00000000-0005-0000-0000-000068060000}"/>
    <cellStyle name="쉼표 [0] 21" xfId="1620" xr:uid="{00000000-0005-0000-0000-000069060000}"/>
    <cellStyle name="쉼표 [0] 21 2" xfId="1621" xr:uid="{00000000-0005-0000-0000-00006A060000}"/>
    <cellStyle name="쉼표 [0] 21 2 2" xfId="1622" xr:uid="{00000000-0005-0000-0000-00006B060000}"/>
    <cellStyle name="쉼표 [0] 21 2 3" xfId="1623" xr:uid="{00000000-0005-0000-0000-00006C060000}"/>
    <cellStyle name="쉼표 [0] 21 2 4" xfId="1624" xr:uid="{00000000-0005-0000-0000-00006D060000}"/>
    <cellStyle name="쉼표 [0] 21 2 5" xfId="1625" xr:uid="{00000000-0005-0000-0000-00006E060000}"/>
    <cellStyle name="쉼표 [0] 21 2 5 2" xfId="1626" xr:uid="{00000000-0005-0000-0000-00006F060000}"/>
    <cellStyle name="쉼표 [0] 21 2 6" xfId="1627" xr:uid="{00000000-0005-0000-0000-000070060000}"/>
    <cellStyle name="쉼표 [0] 21 3" xfId="1628" xr:uid="{00000000-0005-0000-0000-000071060000}"/>
    <cellStyle name="쉼표 [0] 21 3 2" xfId="1629" xr:uid="{00000000-0005-0000-0000-000072060000}"/>
    <cellStyle name="쉼표 [0] 21 3 3" xfId="1630" xr:uid="{00000000-0005-0000-0000-000073060000}"/>
    <cellStyle name="쉼표 [0] 21 3 4" xfId="1631" xr:uid="{00000000-0005-0000-0000-000074060000}"/>
    <cellStyle name="쉼표 [0] 21 3 5" xfId="1632" xr:uid="{00000000-0005-0000-0000-000075060000}"/>
    <cellStyle name="쉼표 [0] 21 4" xfId="1633" xr:uid="{00000000-0005-0000-0000-000076060000}"/>
    <cellStyle name="쉼표 [0] 21 4 2" xfId="1634" xr:uid="{00000000-0005-0000-0000-000077060000}"/>
    <cellStyle name="쉼표 [0] 21 4 3" xfId="1635" xr:uid="{00000000-0005-0000-0000-000078060000}"/>
    <cellStyle name="쉼표 [0] 21 4 4" xfId="1636" xr:uid="{00000000-0005-0000-0000-000079060000}"/>
    <cellStyle name="쉼표 [0] 21 4 5" xfId="1637" xr:uid="{00000000-0005-0000-0000-00007A060000}"/>
    <cellStyle name="쉼표 [0] 22" xfId="1638" xr:uid="{00000000-0005-0000-0000-00007B060000}"/>
    <cellStyle name="쉼표 [0] 23" xfId="1639" xr:uid="{00000000-0005-0000-0000-00007C060000}"/>
    <cellStyle name="쉼표 [0] 24" xfId="1640" xr:uid="{00000000-0005-0000-0000-00007D060000}"/>
    <cellStyle name="쉼표 [0] 25" xfId="1641" xr:uid="{00000000-0005-0000-0000-00007E060000}"/>
    <cellStyle name="쉼표 [0] 26" xfId="1642" xr:uid="{00000000-0005-0000-0000-00007F060000}"/>
    <cellStyle name="쉼표 [0] 27" xfId="1643" xr:uid="{00000000-0005-0000-0000-000080060000}"/>
    <cellStyle name="쉼표 [0] 27 2" xfId="1644" xr:uid="{00000000-0005-0000-0000-000081060000}"/>
    <cellStyle name="쉼표 [0] 28" xfId="1645" xr:uid="{00000000-0005-0000-0000-000082060000}"/>
    <cellStyle name="쉼표 [0] 29" xfId="1646" xr:uid="{00000000-0005-0000-0000-000083060000}"/>
    <cellStyle name="쉼표 [0] 3" xfId="1647" xr:uid="{00000000-0005-0000-0000-000084060000}"/>
    <cellStyle name="쉼표 [0] 3 10" xfId="1648" xr:uid="{00000000-0005-0000-0000-000085060000}"/>
    <cellStyle name="쉼표 [0] 3 10 2" xfId="1649" xr:uid="{00000000-0005-0000-0000-000086060000}"/>
    <cellStyle name="쉼표 [0] 3 10 2 2" xfId="1650" xr:uid="{00000000-0005-0000-0000-000087060000}"/>
    <cellStyle name="쉼표 [0] 3 11" xfId="1651" xr:uid="{00000000-0005-0000-0000-000088060000}"/>
    <cellStyle name="쉼표 [0] 3 12" xfId="1652" xr:uid="{00000000-0005-0000-0000-000089060000}"/>
    <cellStyle name="쉼표 [0] 3 13" xfId="1653" xr:uid="{00000000-0005-0000-0000-00008A060000}"/>
    <cellStyle name="쉼표 [0] 3 14" xfId="1654" xr:uid="{00000000-0005-0000-0000-00008B060000}"/>
    <cellStyle name="쉼표 [0] 3 15" xfId="1655" xr:uid="{00000000-0005-0000-0000-00008C060000}"/>
    <cellStyle name="쉼표 [0] 3 16" xfId="1656" xr:uid="{00000000-0005-0000-0000-00008D060000}"/>
    <cellStyle name="쉼표 [0] 3 17" xfId="1657" xr:uid="{00000000-0005-0000-0000-00008E060000}"/>
    <cellStyle name="쉼표 [0] 3 18" xfId="1658" xr:uid="{00000000-0005-0000-0000-00008F060000}"/>
    <cellStyle name="쉼표 [0] 3 19" xfId="1659" xr:uid="{00000000-0005-0000-0000-000090060000}"/>
    <cellStyle name="쉼표 [0] 3 2" xfId="1660" xr:uid="{00000000-0005-0000-0000-000091060000}"/>
    <cellStyle name="쉼표 [0] 3 2 10" xfId="1661" xr:uid="{00000000-0005-0000-0000-000092060000}"/>
    <cellStyle name="쉼표 [0] 3 2 10 2" xfId="1662" xr:uid="{00000000-0005-0000-0000-000093060000}"/>
    <cellStyle name="쉼표 [0] 3 2 10 2 2" xfId="1663" xr:uid="{00000000-0005-0000-0000-000094060000}"/>
    <cellStyle name="쉼표 [0] 3 2 10 2 2 2" xfId="1664" xr:uid="{00000000-0005-0000-0000-000095060000}"/>
    <cellStyle name="쉼표 [0] 3 2 10 3" xfId="1665" xr:uid="{00000000-0005-0000-0000-000096060000}"/>
    <cellStyle name="쉼표 [0] 3 2 10 4" xfId="1666" xr:uid="{00000000-0005-0000-0000-000097060000}"/>
    <cellStyle name="쉼표 [0] 3 2 10 5" xfId="1667" xr:uid="{00000000-0005-0000-0000-000098060000}"/>
    <cellStyle name="쉼표 [0] 3 2 10 6" xfId="1668" xr:uid="{00000000-0005-0000-0000-000099060000}"/>
    <cellStyle name="쉼표 [0] 3 2 11" xfId="1669" xr:uid="{00000000-0005-0000-0000-00009A060000}"/>
    <cellStyle name="쉼표 [0] 3 2 11 2" xfId="1670" xr:uid="{00000000-0005-0000-0000-00009B060000}"/>
    <cellStyle name="쉼표 [0] 3 2 11 2 2" xfId="1671" xr:uid="{00000000-0005-0000-0000-00009C060000}"/>
    <cellStyle name="쉼표 [0] 3 2 11 2 2 2" xfId="1672" xr:uid="{00000000-0005-0000-0000-00009D060000}"/>
    <cellStyle name="쉼표 [0] 3 2 11 3" xfId="1673" xr:uid="{00000000-0005-0000-0000-00009E060000}"/>
    <cellStyle name="쉼표 [0] 3 2 11 4" xfId="1674" xr:uid="{00000000-0005-0000-0000-00009F060000}"/>
    <cellStyle name="쉼표 [0] 3 2 11 5" xfId="1675" xr:uid="{00000000-0005-0000-0000-0000A0060000}"/>
    <cellStyle name="쉼표 [0] 3 2 11 6" xfId="1676" xr:uid="{00000000-0005-0000-0000-0000A1060000}"/>
    <cellStyle name="쉼표 [0] 3 2 12" xfId="1677" xr:uid="{00000000-0005-0000-0000-0000A2060000}"/>
    <cellStyle name="쉼표 [0] 3 2 12 2" xfId="1678" xr:uid="{00000000-0005-0000-0000-0000A3060000}"/>
    <cellStyle name="쉼표 [0] 3 2 12 2 2" xfId="1679" xr:uid="{00000000-0005-0000-0000-0000A4060000}"/>
    <cellStyle name="쉼표 [0] 3 2 12 2 2 2" xfId="1680" xr:uid="{00000000-0005-0000-0000-0000A5060000}"/>
    <cellStyle name="쉼표 [0] 3 2 12 3" xfId="1681" xr:uid="{00000000-0005-0000-0000-0000A6060000}"/>
    <cellStyle name="쉼표 [0] 3 2 12 4" xfId="1682" xr:uid="{00000000-0005-0000-0000-0000A7060000}"/>
    <cellStyle name="쉼표 [0] 3 2 12 5" xfId="1683" xr:uid="{00000000-0005-0000-0000-0000A8060000}"/>
    <cellStyle name="쉼표 [0] 3 2 12 6" xfId="1684" xr:uid="{00000000-0005-0000-0000-0000A9060000}"/>
    <cellStyle name="쉼표 [0] 3 2 13" xfId="1685" xr:uid="{00000000-0005-0000-0000-0000AA060000}"/>
    <cellStyle name="쉼표 [0] 3 2 13 2" xfId="1686" xr:uid="{00000000-0005-0000-0000-0000AB060000}"/>
    <cellStyle name="쉼표 [0] 3 2 13 2 2" xfId="1687" xr:uid="{00000000-0005-0000-0000-0000AC060000}"/>
    <cellStyle name="쉼표 [0] 3 2 13 2 2 2" xfId="1688" xr:uid="{00000000-0005-0000-0000-0000AD060000}"/>
    <cellStyle name="쉼표 [0] 3 2 13 3" xfId="1689" xr:uid="{00000000-0005-0000-0000-0000AE060000}"/>
    <cellStyle name="쉼표 [0] 3 2 13 4" xfId="1690" xr:uid="{00000000-0005-0000-0000-0000AF060000}"/>
    <cellStyle name="쉼표 [0] 3 2 13 5" xfId="1691" xr:uid="{00000000-0005-0000-0000-0000B0060000}"/>
    <cellStyle name="쉼표 [0] 3 2 13 6" xfId="1692" xr:uid="{00000000-0005-0000-0000-0000B1060000}"/>
    <cellStyle name="쉼표 [0] 3 2 14" xfId="1693" xr:uid="{00000000-0005-0000-0000-0000B2060000}"/>
    <cellStyle name="쉼표 [0] 3 2 14 2" xfId="1694" xr:uid="{00000000-0005-0000-0000-0000B3060000}"/>
    <cellStyle name="쉼표 [0] 3 2 14 2 2" xfId="1695" xr:uid="{00000000-0005-0000-0000-0000B4060000}"/>
    <cellStyle name="쉼표 [0] 3 2 14 2 2 2" xfId="1696" xr:uid="{00000000-0005-0000-0000-0000B5060000}"/>
    <cellStyle name="쉼표 [0] 3 2 14 3" xfId="1697" xr:uid="{00000000-0005-0000-0000-0000B6060000}"/>
    <cellStyle name="쉼표 [0] 3 2 14 4" xfId="1698" xr:uid="{00000000-0005-0000-0000-0000B7060000}"/>
    <cellStyle name="쉼표 [0] 3 2 14 5" xfId="1699" xr:uid="{00000000-0005-0000-0000-0000B8060000}"/>
    <cellStyle name="쉼표 [0] 3 2 14 6" xfId="1700" xr:uid="{00000000-0005-0000-0000-0000B9060000}"/>
    <cellStyle name="쉼표 [0] 3 2 15" xfId="1701" xr:uid="{00000000-0005-0000-0000-0000BA060000}"/>
    <cellStyle name="쉼표 [0] 3 2 15 2" xfId="1702" xr:uid="{00000000-0005-0000-0000-0000BB060000}"/>
    <cellStyle name="쉼표 [0] 3 2 15 2 2" xfId="1703" xr:uid="{00000000-0005-0000-0000-0000BC060000}"/>
    <cellStyle name="쉼표 [0] 3 2 15 2 2 2" xfId="1704" xr:uid="{00000000-0005-0000-0000-0000BD060000}"/>
    <cellStyle name="쉼표 [0] 3 2 15 3" xfId="1705" xr:uid="{00000000-0005-0000-0000-0000BE060000}"/>
    <cellStyle name="쉼표 [0] 3 2 15 4" xfId="1706" xr:uid="{00000000-0005-0000-0000-0000BF060000}"/>
    <cellStyle name="쉼표 [0] 3 2 15 5" xfId="1707" xr:uid="{00000000-0005-0000-0000-0000C0060000}"/>
    <cellStyle name="쉼표 [0] 3 2 15 6" xfId="1708" xr:uid="{00000000-0005-0000-0000-0000C1060000}"/>
    <cellStyle name="쉼표 [0] 3 2 16" xfId="1709" xr:uid="{00000000-0005-0000-0000-0000C2060000}"/>
    <cellStyle name="쉼표 [0] 3 2 16 2" xfId="1710" xr:uid="{00000000-0005-0000-0000-0000C3060000}"/>
    <cellStyle name="쉼표 [0] 3 2 16 2 2" xfId="1711" xr:uid="{00000000-0005-0000-0000-0000C4060000}"/>
    <cellStyle name="쉼표 [0] 3 2 16 2 2 2" xfId="1712" xr:uid="{00000000-0005-0000-0000-0000C5060000}"/>
    <cellStyle name="쉼표 [0] 3 2 16 3" xfId="1713" xr:uid="{00000000-0005-0000-0000-0000C6060000}"/>
    <cellStyle name="쉼표 [0] 3 2 16 4" xfId="1714" xr:uid="{00000000-0005-0000-0000-0000C7060000}"/>
    <cellStyle name="쉼표 [0] 3 2 16 5" xfId="1715" xr:uid="{00000000-0005-0000-0000-0000C8060000}"/>
    <cellStyle name="쉼표 [0] 3 2 16 6" xfId="1716" xr:uid="{00000000-0005-0000-0000-0000C9060000}"/>
    <cellStyle name="쉼표 [0] 3 2 17" xfId="1717" xr:uid="{00000000-0005-0000-0000-0000CA060000}"/>
    <cellStyle name="쉼표 [0] 3 2 17 2" xfId="1718" xr:uid="{00000000-0005-0000-0000-0000CB060000}"/>
    <cellStyle name="쉼표 [0] 3 2 17 2 2" xfId="1719" xr:uid="{00000000-0005-0000-0000-0000CC060000}"/>
    <cellStyle name="쉼표 [0] 3 2 17 2 2 2" xfId="1720" xr:uid="{00000000-0005-0000-0000-0000CD060000}"/>
    <cellStyle name="쉼표 [0] 3 2 17 3" xfId="1721" xr:uid="{00000000-0005-0000-0000-0000CE060000}"/>
    <cellStyle name="쉼표 [0] 3 2 17 4" xfId="1722" xr:uid="{00000000-0005-0000-0000-0000CF060000}"/>
    <cellStyle name="쉼표 [0] 3 2 17 5" xfId="1723" xr:uid="{00000000-0005-0000-0000-0000D0060000}"/>
    <cellStyle name="쉼표 [0] 3 2 17 6" xfId="1724" xr:uid="{00000000-0005-0000-0000-0000D1060000}"/>
    <cellStyle name="쉼표 [0] 3 2 18" xfId="1725" xr:uid="{00000000-0005-0000-0000-0000D2060000}"/>
    <cellStyle name="쉼표 [0] 3 2 18 2" xfId="1726" xr:uid="{00000000-0005-0000-0000-0000D3060000}"/>
    <cellStyle name="쉼표 [0] 3 2 18 2 2" xfId="1727" xr:uid="{00000000-0005-0000-0000-0000D4060000}"/>
    <cellStyle name="쉼표 [0] 3 2 18 2 2 2" xfId="1728" xr:uid="{00000000-0005-0000-0000-0000D5060000}"/>
    <cellStyle name="쉼표 [0] 3 2 18 3" xfId="1729" xr:uid="{00000000-0005-0000-0000-0000D6060000}"/>
    <cellStyle name="쉼표 [0] 3 2 18 4" xfId="1730" xr:uid="{00000000-0005-0000-0000-0000D7060000}"/>
    <cellStyle name="쉼표 [0] 3 2 18 5" xfId="1731" xr:uid="{00000000-0005-0000-0000-0000D8060000}"/>
    <cellStyle name="쉼표 [0] 3 2 18 6" xfId="1732" xr:uid="{00000000-0005-0000-0000-0000D9060000}"/>
    <cellStyle name="쉼표 [0] 3 2 19" xfId="1733" xr:uid="{00000000-0005-0000-0000-0000DA060000}"/>
    <cellStyle name="쉼표 [0] 3 2 19 2" xfId="1734" xr:uid="{00000000-0005-0000-0000-0000DB060000}"/>
    <cellStyle name="쉼표 [0] 3 2 19 2 2" xfId="1735" xr:uid="{00000000-0005-0000-0000-0000DC060000}"/>
    <cellStyle name="쉼표 [0] 3 2 19 2 2 2" xfId="1736" xr:uid="{00000000-0005-0000-0000-0000DD060000}"/>
    <cellStyle name="쉼표 [0] 3 2 19 3" xfId="1737" xr:uid="{00000000-0005-0000-0000-0000DE060000}"/>
    <cellStyle name="쉼표 [0] 3 2 19 4" xfId="1738" xr:uid="{00000000-0005-0000-0000-0000DF060000}"/>
    <cellStyle name="쉼표 [0] 3 2 19 5" xfId="1739" xr:uid="{00000000-0005-0000-0000-0000E0060000}"/>
    <cellStyle name="쉼표 [0] 3 2 19 6" xfId="1740" xr:uid="{00000000-0005-0000-0000-0000E1060000}"/>
    <cellStyle name="쉼표 [0] 3 2 2" xfId="1741" xr:uid="{00000000-0005-0000-0000-0000E2060000}"/>
    <cellStyle name="쉼표 [0] 3 2 2 2" xfId="1742" xr:uid="{00000000-0005-0000-0000-0000E3060000}"/>
    <cellStyle name="쉼표 [0] 3 2 2 2 2" xfId="1743" xr:uid="{00000000-0005-0000-0000-0000E4060000}"/>
    <cellStyle name="쉼표 [0] 3 2 2 2 2 2" xfId="1744" xr:uid="{00000000-0005-0000-0000-0000E5060000}"/>
    <cellStyle name="쉼표 [0] 3 2 2 2 2 3" xfId="1745" xr:uid="{00000000-0005-0000-0000-0000E6060000}"/>
    <cellStyle name="쉼표 [0] 3 2 2 2 2 4" xfId="1746" xr:uid="{00000000-0005-0000-0000-0000E7060000}"/>
    <cellStyle name="쉼표 [0] 3 2 2 2 2 5" xfId="1747" xr:uid="{00000000-0005-0000-0000-0000E8060000}"/>
    <cellStyle name="쉼표 [0] 3 2 2 2 2 5 2" xfId="1748" xr:uid="{00000000-0005-0000-0000-0000E9060000}"/>
    <cellStyle name="쉼표 [0] 3 2 2 2 2 6" xfId="1749" xr:uid="{00000000-0005-0000-0000-0000EA060000}"/>
    <cellStyle name="쉼표 [0] 3 2 2 2 3" xfId="1750" xr:uid="{00000000-0005-0000-0000-0000EB060000}"/>
    <cellStyle name="쉼표 [0] 3 2 2 2 3 2" xfId="1751" xr:uid="{00000000-0005-0000-0000-0000EC060000}"/>
    <cellStyle name="쉼표 [0] 3 2 2 2 3 3" xfId="1752" xr:uid="{00000000-0005-0000-0000-0000ED060000}"/>
    <cellStyle name="쉼표 [0] 3 2 2 2 3 4" xfId="1753" xr:uid="{00000000-0005-0000-0000-0000EE060000}"/>
    <cellStyle name="쉼표 [0] 3 2 2 2 3 5" xfId="1754" xr:uid="{00000000-0005-0000-0000-0000EF060000}"/>
    <cellStyle name="쉼표 [0] 3 2 2 2 4" xfId="1755" xr:uid="{00000000-0005-0000-0000-0000F0060000}"/>
    <cellStyle name="쉼표 [0] 3 2 2 2 4 2" xfId="1756" xr:uid="{00000000-0005-0000-0000-0000F1060000}"/>
    <cellStyle name="쉼표 [0] 3 2 2 2 4 3" xfId="1757" xr:uid="{00000000-0005-0000-0000-0000F2060000}"/>
    <cellStyle name="쉼표 [0] 3 2 2 2 4 4" xfId="1758" xr:uid="{00000000-0005-0000-0000-0000F3060000}"/>
    <cellStyle name="쉼표 [0] 3 2 2 2 4 5" xfId="1759" xr:uid="{00000000-0005-0000-0000-0000F4060000}"/>
    <cellStyle name="쉼표 [0] 3 2 2 2 5" xfId="1760" xr:uid="{00000000-0005-0000-0000-0000F5060000}"/>
    <cellStyle name="쉼표 [0] 3 2 2 3" xfId="1761" xr:uid="{00000000-0005-0000-0000-0000F6060000}"/>
    <cellStyle name="쉼표 [0] 3 2 2 4" xfId="1762" xr:uid="{00000000-0005-0000-0000-0000F7060000}"/>
    <cellStyle name="쉼표 [0] 3 2 2 5" xfId="1763" xr:uid="{00000000-0005-0000-0000-0000F8060000}"/>
    <cellStyle name="쉼표 [0] 3 2 2 6" xfId="1764" xr:uid="{00000000-0005-0000-0000-0000F9060000}"/>
    <cellStyle name="쉼표 [0] 3 2 2 7" xfId="1765" xr:uid="{00000000-0005-0000-0000-0000FA060000}"/>
    <cellStyle name="쉼표 [0] 3 2 2 8" xfId="1766" xr:uid="{00000000-0005-0000-0000-0000FB060000}"/>
    <cellStyle name="쉼표 [0] 3 2 2 9" xfId="1767" xr:uid="{00000000-0005-0000-0000-0000FC060000}"/>
    <cellStyle name="쉼표 [0] 3 2 20" xfId="1768" xr:uid="{00000000-0005-0000-0000-0000FD060000}"/>
    <cellStyle name="쉼표 [0] 3 2 20 2" xfId="1769" xr:uid="{00000000-0005-0000-0000-0000FE060000}"/>
    <cellStyle name="쉼표 [0] 3 2 20 2 2" xfId="1770" xr:uid="{00000000-0005-0000-0000-0000FF060000}"/>
    <cellStyle name="쉼표 [0] 3 2 20 2 2 2" xfId="1771" xr:uid="{00000000-0005-0000-0000-000000070000}"/>
    <cellStyle name="쉼표 [0] 3 2 20 3" xfId="1772" xr:uid="{00000000-0005-0000-0000-000001070000}"/>
    <cellStyle name="쉼표 [0] 3 2 20 4" xfId="1773" xr:uid="{00000000-0005-0000-0000-000002070000}"/>
    <cellStyle name="쉼표 [0] 3 2 20 5" xfId="1774" xr:uid="{00000000-0005-0000-0000-000003070000}"/>
    <cellStyle name="쉼표 [0] 3 2 20 6" xfId="1775" xr:uid="{00000000-0005-0000-0000-000004070000}"/>
    <cellStyle name="쉼표 [0] 3 2 21" xfId="1776" xr:uid="{00000000-0005-0000-0000-000005070000}"/>
    <cellStyle name="쉼표 [0] 3 2 21 2" xfId="1777" xr:uid="{00000000-0005-0000-0000-000006070000}"/>
    <cellStyle name="쉼표 [0] 3 2 21 2 2" xfId="1778" xr:uid="{00000000-0005-0000-0000-000007070000}"/>
    <cellStyle name="쉼표 [0] 3 2 21 2 2 2" xfId="1779" xr:uid="{00000000-0005-0000-0000-000008070000}"/>
    <cellStyle name="쉼표 [0] 3 2 21 3" xfId="1780" xr:uid="{00000000-0005-0000-0000-000009070000}"/>
    <cellStyle name="쉼표 [0] 3 2 21 4" xfId="1781" xr:uid="{00000000-0005-0000-0000-00000A070000}"/>
    <cellStyle name="쉼표 [0] 3 2 21 5" xfId="1782" xr:uid="{00000000-0005-0000-0000-00000B070000}"/>
    <cellStyle name="쉼표 [0] 3 2 21 6" xfId="1783" xr:uid="{00000000-0005-0000-0000-00000C070000}"/>
    <cellStyle name="쉼표 [0] 3 2 22" xfId="1784" xr:uid="{00000000-0005-0000-0000-00000D070000}"/>
    <cellStyle name="쉼표 [0] 3 2 22 2" xfId="1785" xr:uid="{00000000-0005-0000-0000-00000E070000}"/>
    <cellStyle name="쉼표 [0] 3 2 22 2 2" xfId="1786" xr:uid="{00000000-0005-0000-0000-00000F070000}"/>
    <cellStyle name="쉼표 [0] 3 2 22 2 2 2" xfId="1787" xr:uid="{00000000-0005-0000-0000-000010070000}"/>
    <cellStyle name="쉼표 [0] 3 2 22 3" xfId="1788" xr:uid="{00000000-0005-0000-0000-000011070000}"/>
    <cellStyle name="쉼표 [0] 3 2 22 4" xfId="1789" xr:uid="{00000000-0005-0000-0000-000012070000}"/>
    <cellStyle name="쉼표 [0] 3 2 22 5" xfId="1790" xr:uid="{00000000-0005-0000-0000-000013070000}"/>
    <cellStyle name="쉼표 [0] 3 2 22 6" xfId="1791" xr:uid="{00000000-0005-0000-0000-000014070000}"/>
    <cellStyle name="쉼표 [0] 3 2 23" xfId="1792" xr:uid="{00000000-0005-0000-0000-000015070000}"/>
    <cellStyle name="쉼표 [0] 3 2 23 2" xfId="1793" xr:uid="{00000000-0005-0000-0000-000016070000}"/>
    <cellStyle name="쉼표 [0] 3 2 23 2 2" xfId="1794" xr:uid="{00000000-0005-0000-0000-000017070000}"/>
    <cellStyle name="쉼표 [0] 3 2 23 2 2 2" xfId="1795" xr:uid="{00000000-0005-0000-0000-000018070000}"/>
    <cellStyle name="쉼표 [0] 3 2 23 3" xfId="1796" xr:uid="{00000000-0005-0000-0000-000019070000}"/>
    <cellStyle name="쉼표 [0] 3 2 23 4" xfId="1797" xr:uid="{00000000-0005-0000-0000-00001A070000}"/>
    <cellStyle name="쉼표 [0] 3 2 23 5" xfId="1798" xr:uid="{00000000-0005-0000-0000-00001B070000}"/>
    <cellStyle name="쉼표 [0] 3 2 23 6" xfId="1799" xr:uid="{00000000-0005-0000-0000-00001C070000}"/>
    <cellStyle name="쉼표 [0] 3 2 24" xfId="1800" xr:uid="{00000000-0005-0000-0000-00001D070000}"/>
    <cellStyle name="쉼표 [0] 3 2 24 2" xfId="1801" xr:uid="{00000000-0005-0000-0000-00001E070000}"/>
    <cellStyle name="쉼표 [0] 3 2 24 2 2" xfId="1802" xr:uid="{00000000-0005-0000-0000-00001F070000}"/>
    <cellStyle name="쉼표 [0] 3 2 24 2 2 2" xfId="1803" xr:uid="{00000000-0005-0000-0000-000020070000}"/>
    <cellStyle name="쉼표 [0] 3 2 24 3" xfId="1804" xr:uid="{00000000-0005-0000-0000-000021070000}"/>
    <cellStyle name="쉼표 [0] 3 2 24 4" xfId="1805" xr:uid="{00000000-0005-0000-0000-000022070000}"/>
    <cellStyle name="쉼표 [0] 3 2 24 5" xfId="1806" xr:uid="{00000000-0005-0000-0000-000023070000}"/>
    <cellStyle name="쉼표 [0] 3 2 24 6" xfId="1807" xr:uid="{00000000-0005-0000-0000-000024070000}"/>
    <cellStyle name="쉼표 [0] 3 2 25" xfId="1808" xr:uid="{00000000-0005-0000-0000-000025070000}"/>
    <cellStyle name="쉼표 [0] 3 2 25 2" xfId="1809" xr:uid="{00000000-0005-0000-0000-000026070000}"/>
    <cellStyle name="쉼표 [0] 3 2 25 2 2" xfId="1810" xr:uid="{00000000-0005-0000-0000-000027070000}"/>
    <cellStyle name="쉼표 [0] 3 2 25 2 2 2" xfId="1811" xr:uid="{00000000-0005-0000-0000-000028070000}"/>
    <cellStyle name="쉼표 [0] 3 2 25 3" xfId="1812" xr:uid="{00000000-0005-0000-0000-000029070000}"/>
    <cellStyle name="쉼표 [0] 3 2 25 4" xfId="1813" xr:uid="{00000000-0005-0000-0000-00002A070000}"/>
    <cellStyle name="쉼표 [0] 3 2 25 5" xfId="1814" xr:uid="{00000000-0005-0000-0000-00002B070000}"/>
    <cellStyle name="쉼표 [0] 3 2 25 6" xfId="1815" xr:uid="{00000000-0005-0000-0000-00002C070000}"/>
    <cellStyle name="쉼표 [0] 3 2 26" xfId="1816" xr:uid="{00000000-0005-0000-0000-00002D070000}"/>
    <cellStyle name="쉼표 [0] 3 2 26 2" xfId="1817" xr:uid="{00000000-0005-0000-0000-00002E070000}"/>
    <cellStyle name="쉼표 [0] 3 2 26 2 2" xfId="1818" xr:uid="{00000000-0005-0000-0000-00002F070000}"/>
    <cellStyle name="쉼표 [0] 3 2 26 2 2 2" xfId="1819" xr:uid="{00000000-0005-0000-0000-000030070000}"/>
    <cellStyle name="쉼표 [0] 3 2 26 3" xfId="1820" xr:uid="{00000000-0005-0000-0000-000031070000}"/>
    <cellStyle name="쉼표 [0] 3 2 26 4" xfId="1821" xr:uid="{00000000-0005-0000-0000-000032070000}"/>
    <cellStyle name="쉼표 [0] 3 2 26 5" xfId="1822" xr:uid="{00000000-0005-0000-0000-000033070000}"/>
    <cellStyle name="쉼표 [0] 3 2 26 6" xfId="1823" xr:uid="{00000000-0005-0000-0000-000034070000}"/>
    <cellStyle name="쉼표 [0] 3 2 27" xfId="1824" xr:uid="{00000000-0005-0000-0000-000035070000}"/>
    <cellStyle name="쉼표 [0] 3 2 27 2" xfId="1825" xr:uid="{00000000-0005-0000-0000-000036070000}"/>
    <cellStyle name="쉼표 [0] 3 2 27 2 2" xfId="1826" xr:uid="{00000000-0005-0000-0000-000037070000}"/>
    <cellStyle name="쉼표 [0] 3 2 27 2 2 2" xfId="1827" xr:uid="{00000000-0005-0000-0000-000038070000}"/>
    <cellStyle name="쉼표 [0] 3 2 27 3" xfId="1828" xr:uid="{00000000-0005-0000-0000-000039070000}"/>
    <cellStyle name="쉼표 [0] 3 2 27 4" xfId="1829" xr:uid="{00000000-0005-0000-0000-00003A070000}"/>
    <cellStyle name="쉼표 [0] 3 2 27 5" xfId="1830" xr:uid="{00000000-0005-0000-0000-00003B070000}"/>
    <cellStyle name="쉼표 [0] 3 2 27 6" xfId="1831" xr:uid="{00000000-0005-0000-0000-00003C070000}"/>
    <cellStyle name="쉼표 [0] 3 2 28" xfId="1832" xr:uid="{00000000-0005-0000-0000-00003D070000}"/>
    <cellStyle name="쉼표 [0] 3 2 28 2" xfId="1833" xr:uid="{00000000-0005-0000-0000-00003E070000}"/>
    <cellStyle name="쉼표 [0] 3 2 28 2 2" xfId="1834" xr:uid="{00000000-0005-0000-0000-00003F070000}"/>
    <cellStyle name="쉼표 [0] 3 2 28 2 2 2" xfId="1835" xr:uid="{00000000-0005-0000-0000-000040070000}"/>
    <cellStyle name="쉼표 [0] 3 2 28 3" xfId="1836" xr:uid="{00000000-0005-0000-0000-000041070000}"/>
    <cellStyle name="쉼표 [0] 3 2 28 4" xfId="1837" xr:uid="{00000000-0005-0000-0000-000042070000}"/>
    <cellStyle name="쉼표 [0] 3 2 28 5" xfId="1838" xr:uid="{00000000-0005-0000-0000-000043070000}"/>
    <cellStyle name="쉼표 [0] 3 2 28 6" xfId="1839" xr:uid="{00000000-0005-0000-0000-000044070000}"/>
    <cellStyle name="쉼표 [0] 3 2 29" xfId="1840" xr:uid="{00000000-0005-0000-0000-000045070000}"/>
    <cellStyle name="쉼표 [0] 3 2 29 2" xfId="1841" xr:uid="{00000000-0005-0000-0000-000046070000}"/>
    <cellStyle name="쉼표 [0] 3 2 29 2 2" xfId="1842" xr:uid="{00000000-0005-0000-0000-000047070000}"/>
    <cellStyle name="쉼표 [0] 3 2 29 2 2 2" xfId="1843" xr:uid="{00000000-0005-0000-0000-000048070000}"/>
    <cellStyle name="쉼표 [0] 3 2 29 3" xfId="1844" xr:uid="{00000000-0005-0000-0000-000049070000}"/>
    <cellStyle name="쉼표 [0] 3 2 29 4" xfId="1845" xr:uid="{00000000-0005-0000-0000-00004A070000}"/>
    <cellStyle name="쉼표 [0] 3 2 29 5" xfId="1846" xr:uid="{00000000-0005-0000-0000-00004B070000}"/>
    <cellStyle name="쉼표 [0] 3 2 29 6" xfId="1847" xr:uid="{00000000-0005-0000-0000-00004C070000}"/>
    <cellStyle name="쉼표 [0] 3 2 3" xfId="1848" xr:uid="{00000000-0005-0000-0000-00004D070000}"/>
    <cellStyle name="쉼표 [0] 3 2 3 2" xfId="1849" xr:uid="{00000000-0005-0000-0000-00004E070000}"/>
    <cellStyle name="쉼표 [0] 3 2 3 2 2" xfId="1850" xr:uid="{00000000-0005-0000-0000-00004F070000}"/>
    <cellStyle name="쉼표 [0] 3 2 3 2 2 2" xfId="1851" xr:uid="{00000000-0005-0000-0000-000050070000}"/>
    <cellStyle name="쉼표 [0] 3 2 3 3" xfId="1852" xr:uid="{00000000-0005-0000-0000-000051070000}"/>
    <cellStyle name="쉼표 [0] 3 2 3 4" xfId="1853" xr:uid="{00000000-0005-0000-0000-000052070000}"/>
    <cellStyle name="쉼표 [0] 3 2 3 5" xfId="1854" xr:uid="{00000000-0005-0000-0000-000053070000}"/>
    <cellStyle name="쉼표 [0] 3 2 3 6" xfId="1855" xr:uid="{00000000-0005-0000-0000-000054070000}"/>
    <cellStyle name="쉼표 [0] 3 2 30" xfId="1856" xr:uid="{00000000-0005-0000-0000-000055070000}"/>
    <cellStyle name="쉼표 [0] 3 2 30 2" xfId="1857" xr:uid="{00000000-0005-0000-0000-000056070000}"/>
    <cellStyle name="쉼표 [0] 3 2 30 2 2" xfId="1858" xr:uid="{00000000-0005-0000-0000-000057070000}"/>
    <cellStyle name="쉼표 [0] 3 2 30 2 2 2" xfId="1859" xr:uid="{00000000-0005-0000-0000-000058070000}"/>
    <cellStyle name="쉼표 [0] 3 2 30 3" xfId="1860" xr:uid="{00000000-0005-0000-0000-000059070000}"/>
    <cellStyle name="쉼표 [0] 3 2 30 4" xfId="1861" xr:uid="{00000000-0005-0000-0000-00005A070000}"/>
    <cellStyle name="쉼표 [0] 3 2 30 5" xfId="1862" xr:uid="{00000000-0005-0000-0000-00005B070000}"/>
    <cellStyle name="쉼표 [0] 3 2 30 6" xfId="1863" xr:uid="{00000000-0005-0000-0000-00005C070000}"/>
    <cellStyle name="쉼표 [0] 3 2 31" xfId="1864" xr:uid="{00000000-0005-0000-0000-00005D070000}"/>
    <cellStyle name="쉼표 [0] 3 2 31 2" xfId="1865" xr:uid="{00000000-0005-0000-0000-00005E070000}"/>
    <cellStyle name="쉼표 [0] 3 2 31 2 2" xfId="1866" xr:uid="{00000000-0005-0000-0000-00005F070000}"/>
    <cellStyle name="쉼표 [0] 3 2 31 2 2 2" xfId="1867" xr:uid="{00000000-0005-0000-0000-000060070000}"/>
    <cellStyle name="쉼표 [0] 3 2 31 3" xfId="1868" xr:uid="{00000000-0005-0000-0000-000061070000}"/>
    <cellStyle name="쉼표 [0] 3 2 31 4" xfId="1869" xr:uid="{00000000-0005-0000-0000-000062070000}"/>
    <cellStyle name="쉼표 [0] 3 2 31 5" xfId="1870" xr:uid="{00000000-0005-0000-0000-000063070000}"/>
    <cellStyle name="쉼표 [0] 3 2 31 6" xfId="1871" xr:uid="{00000000-0005-0000-0000-000064070000}"/>
    <cellStyle name="쉼표 [0] 3 2 32" xfId="1872" xr:uid="{00000000-0005-0000-0000-000065070000}"/>
    <cellStyle name="쉼표 [0] 3 2 32 2" xfId="1873" xr:uid="{00000000-0005-0000-0000-000066070000}"/>
    <cellStyle name="쉼표 [0] 3 2 32 2 2" xfId="1874" xr:uid="{00000000-0005-0000-0000-000067070000}"/>
    <cellStyle name="쉼표 [0] 3 2 32 2 2 2" xfId="1875" xr:uid="{00000000-0005-0000-0000-000068070000}"/>
    <cellStyle name="쉼표 [0] 3 2 32 3" xfId="1876" xr:uid="{00000000-0005-0000-0000-000069070000}"/>
    <cellStyle name="쉼표 [0] 3 2 32 4" xfId="1877" xr:uid="{00000000-0005-0000-0000-00006A070000}"/>
    <cellStyle name="쉼표 [0] 3 2 32 5" xfId="1878" xr:uid="{00000000-0005-0000-0000-00006B070000}"/>
    <cellStyle name="쉼표 [0] 3 2 32 6" xfId="1879" xr:uid="{00000000-0005-0000-0000-00006C070000}"/>
    <cellStyle name="쉼표 [0] 3 2 33" xfId="1880" xr:uid="{00000000-0005-0000-0000-00006D070000}"/>
    <cellStyle name="쉼표 [0] 3 2 33 2" xfId="1881" xr:uid="{00000000-0005-0000-0000-00006E070000}"/>
    <cellStyle name="쉼표 [0] 3 2 33 2 2" xfId="1882" xr:uid="{00000000-0005-0000-0000-00006F070000}"/>
    <cellStyle name="쉼표 [0] 3 2 33 2 2 2" xfId="1883" xr:uid="{00000000-0005-0000-0000-000070070000}"/>
    <cellStyle name="쉼표 [0] 3 2 33 3" xfId="1884" xr:uid="{00000000-0005-0000-0000-000071070000}"/>
    <cellStyle name="쉼표 [0] 3 2 33 4" xfId="1885" xr:uid="{00000000-0005-0000-0000-000072070000}"/>
    <cellStyle name="쉼표 [0] 3 2 33 5" xfId="1886" xr:uid="{00000000-0005-0000-0000-000073070000}"/>
    <cellStyle name="쉼표 [0] 3 2 33 6" xfId="1887" xr:uid="{00000000-0005-0000-0000-000074070000}"/>
    <cellStyle name="쉼표 [0] 3 2 34" xfId="1888" xr:uid="{00000000-0005-0000-0000-000075070000}"/>
    <cellStyle name="쉼표 [0] 3 2 34 2" xfId="1889" xr:uid="{00000000-0005-0000-0000-000076070000}"/>
    <cellStyle name="쉼표 [0] 3 2 34 2 2" xfId="1890" xr:uid="{00000000-0005-0000-0000-000077070000}"/>
    <cellStyle name="쉼표 [0] 3 2 34 2 2 2" xfId="1891" xr:uid="{00000000-0005-0000-0000-000078070000}"/>
    <cellStyle name="쉼표 [0] 3 2 34 3" xfId="1892" xr:uid="{00000000-0005-0000-0000-000079070000}"/>
    <cellStyle name="쉼표 [0] 3 2 34 4" xfId="1893" xr:uid="{00000000-0005-0000-0000-00007A070000}"/>
    <cellStyle name="쉼표 [0] 3 2 34 5" xfId="1894" xr:uid="{00000000-0005-0000-0000-00007B070000}"/>
    <cellStyle name="쉼표 [0] 3 2 34 6" xfId="1895" xr:uid="{00000000-0005-0000-0000-00007C070000}"/>
    <cellStyle name="쉼표 [0] 3 2 35" xfId="1896" xr:uid="{00000000-0005-0000-0000-00007D070000}"/>
    <cellStyle name="쉼표 [0] 3 2 35 2" xfId="1897" xr:uid="{00000000-0005-0000-0000-00007E070000}"/>
    <cellStyle name="쉼표 [0] 3 2 35 2 2" xfId="1898" xr:uid="{00000000-0005-0000-0000-00007F070000}"/>
    <cellStyle name="쉼표 [0] 3 2 35 2 2 2" xfId="1899" xr:uid="{00000000-0005-0000-0000-000080070000}"/>
    <cellStyle name="쉼표 [0] 3 2 35 3" xfId="1900" xr:uid="{00000000-0005-0000-0000-000081070000}"/>
    <cellStyle name="쉼표 [0] 3 2 35 4" xfId="1901" xr:uid="{00000000-0005-0000-0000-000082070000}"/>
    <cellStyle name="쉼표 [0] 3 2 35 5" xfId="1902" xr:uid="{00000000-0005-0000-0000-000083070000}"/>
    <cellStyle name="쉼표 [0] 3 2 35 6" xfId="1903" xr:uid="{00000000-0005-0000-0000-000084070000}"/>
    <cellStyle name="쉼표 [0] 3 2 36" xfId="1904" xr:uid="{00000000-0005-0000-0000-000085070000}"/>
    <cellStyle name="쉼표 [0] 3 2 36 2" xfId="1905" xr:uid="{00000000-0005-0000-0000-000086070000}"/>
    <cellStyle name="쉼표 [0] 3 2 36 3" xfId="1906" xr:uid="{00000000-0005-0000-0000-000087070000}"/>
    <cellStyle name="쉼표 [0] 3 2 36 4" xfId="1907" xr:uid="{00000000-0005-0000-0000-000088070000}"/>
    <cellStyle name="쉼표 [0] 3 2 36 5" xfId="1908" xr:uid="{00000000-0005-0000-0000-000089070000}"/>
    <cellStyle name="쉼표 [0] 3 2 36 5 2" xfId="1909" xr:uid="{00000000-0005-0000-0000-00008A070000}"/>
    <cellStyle name="쉼표 [0] 3 2 36 6" xfId="1910" xr:uid="{00000000-0005-0000-0000-00008B070000}"/>
    <cellStyle name="쉼표 [0] 3 2 37" xfId="1911" xr:uid="{00000000-0005-0000-0000-00008C070000}"/>
    <cellStyle name="쉼표 [0] 3 2 37 2" xfId="1912" xr:uid="{00000000-0005-0000-0000-00008D070000}"/>
    <cellStyle name="쉼표 [0] 3 2 37 3" xfId="1913" xr:uid="{00000000-0005-0000-0000-00008E070000}"/>
    <cellStyle name="쉼표 [0] 3 2 37 4" xfId="1914" xr:uid="{00000000-0005-0000-0000-00008F070000}"/>
    <cellStyle name="쉼표 [0] 3 2 37 5" xfId="1915" xr:uid="{00000000-0005-0000-0000-000090070000}"/>
    <cellStyle name="쉼표 [0] 3 2 38" xfId="1916" xr:uid="{00000000-0005-0000-0000-000091070000}"/>
    <cellStyle name="쉼표 [0] 3 2 38 2" xfId="1917" xr:uid="{00000000-0005-0000-0000-000092070000}"/>
    <cellStyle name="쉼표 [0] 3 2 38 3" xfId="1918" xr:uid="{00000000-0005-0000-0000-000093070000}"/>
    <cellStyle name="쉼표 [0] 3 2 38 4" xfId="1919" xr:uid="{00000000-0005-0000-0000-000094070000}"/>
    <cellStyle name="쉼표 [0] 3 2 38 5" xfId="1920" xr:uid="{00000000-0005-0000-0000-000095070000}"/>
    <cellStyle name="쉼표 [0] 3 2 39" xfId="1921" xr:uid="{00000000-0005-0000-0000-000096070000}"/>
    <cellStyle name="쉼표 [0] 3 2 39 2" xfId="1922" xr:uid="{00000000-0005-0000-0000-000097070000}"/>
    <cellStyle name="쉼표 [0] 3 2 4" xfId="1923" xr:uid="{00000000-0005-0000-0000-000098070000}"/>
    <cellStyle name="쉼표 [0] 3 2 4 2" xfId="1924" xr:uid="{00000000-0005-0000-0000-000099070000}"/>
    <cellStyle name="쉼표 [0] 3 2 4 2 2" xfId="1925" xr:uid="{00000000-0005-0000-0000-00009A070000}"/>
    <cellStyle name="쉼표 [0] 3 2 4 2 2 2" xfId="1926" xr:uid="{00000000-0005-0000-0000-00009B070000}"/>
    <cellStyle name="쉼표 [0] 3 2 4 3" xfId="1927" xr:uid="{00000000-0005-0000-0000-00009C070000}"/>
    <cellStyle name="쉼표 [0] 3 2 4 4" xfId="1928" xr:uid="{00000000-0005-0000-0000-00009D070000}"/>
    <cellStyle name="쉼표 [0] 3 2 4 5" xfId="1929" xr:uid="{00000000-0005-0000-0000-00009E070000}"/>
    <cellStyle name="쉼표 [0] 3 2 4 6" xfId="1930" xr:uid="{00000000-0005-0000-0000-00009F070000}"/>
    <cellStyle name="쉼표 [0] 3 2 40" xfId="1931" xr:uid="{00000000-0005-0000-0000-0000A0070000}"/>
    <cellStyle name="쉼표 [0] 3 2 5" xfId="1932" xr:uid="{00000000-0005-0000-0000-0000A1070000}"/>
    <cellStyle name="쉼표 [0] 3 2 5 2" xfId="1933" xr:uid="{00000000-0005-0000-0000-0000A2070000}"/>
    <cellStyle name="쉼표 [0] 3 2 5 2 2" xfId="1934" xr:uid="{00000000-0005-0000-0000-0000A3070000}"/>
    <cellStyle name="쉼표 [0] 3 2 5 2 2 2" xfId="1935" xr:uid="{00000000-0005-0000-0000-0000A4070000}"/>
    <cellStyle name="쉼표 [0] 3 2 5 3" xfId="1936" xr:uid="{00000000-0005-0000-0000-0000A5070000}"/>
    <cellStyle name="쉼표 [0] 3 2 5 4" xfId="1937" xr:uid="{00000000-0005-0000-0000-0000A6070000}"/>
    <cellStyle name="쉼표 [0] 3 2 5 5" xfId="1938" xr:uid="{00000000-0005-0000-0000-0000A7070000}"/>
    <cellStyle name="쉼표 [0] 3 2 5 6" xfId="1939" xr:uid="{00000000-0005-0000-0000-0000A8070000}"/>
    <cellStyle name="쉼표 [0] 3 2 6" xfId="1940" xr:uid="{00000000-0005-0000-0000-0000A9070000}"/>
    <cellStyle name="쉼표 [0] 3 2 6 2" xfId="1941" xr:uid="{00000000-0005-0000-0000-0000AA070000}"/>
    <cellStyle name="쉼표 [0] 3 2 6 2 2" xfId="1942" xr:uid="{00000000-0005-0000-0000-0000AB070000}"/>
    <cellStyle name="쉼표 [0] 3 2 6 2 2 2" xfId="1943" xr:uid="{00000000-0005-0000-0000-0000AC070000}"/>
    <cellStyle name="쉼표 [0] 3 2 6 3" xfId="1944" xr:uid="{00000000-0005-0000-0000-0000AD070000}"/>
    <cellStyle name="쉼표 [0] 3 2 6 4" xfId="1945" xr:uid="{00000000-0005-0000-0000-0000AE070000}"/>
    <cellStyle name="쉼표 [0] 3 2 6 5" xfId="1946" xr:uid="{00000000-0005-0000-0000-0000AF070000}"/>
    <cellStyle name="쉼표 [0] 3 2 6 6" xfId="1947" xr:uid="{00000000-0005-0000-0000-0000B0070000}"/>
    <cellStyle name="쉼표 [0] 3 2 7" xfId="1948" xr:uid="{00000000-0005-0000-0000-0000B1070000}"/>
    <cellStyle name="쉼표 [0] 3 2 7 2" xfId="1949" xr:uid="{00000000-0005-0000-0000-0000B2070000}"/>
    <cellStyle name="쉼표 [0] 3 2 7 2 2" xfId="1950" xr:uid="{00000000-0005-0000-0000-0000B3070000}"/>
    <cellStyle name="쉼표 [0] 3 2 7 2 2 2" xfId="1951" xr:uid="{00000000-0005-0000-0000-0000B4070000}"/>
    <cellStyle name="쉼표 [0] 3 2 7 3" xfId="1952" xr:uid="{00000000-0005-0000-0000-0000B5070000}"/>
    <cellStyle name="쉼표 [0] 3 2 7 4" xfId="1953" xr:uid="{00000000-0005-0000-0000-0000B6070000}"/>
    <cellStyle name="쉼표 [0] 3 2 7 5" xfId="1954" xr:uid="{00000000-0005-0000-0000-0000B7070000}"/>
    <cellStyle name="쉼표 [0] 3 2 7 6" xfId="1955" xr:uid="{00000000-0005-0000-0000-0000B8070000}"/>
    <cellStyle name="쉼표 [0] 3 2 8" xfId="1956" xr:uid="{00000000-0005-0000-0000-0000B9070000}"/>
    <cellStyle name="쉼표 [0] 3 2 8 2" xfId="1957" xr:uid="{00000000-0005-0000-0000-0000BA070000}"/>
    <cellStyle name="쉼표 [0] 3 2 8 2 2" xfId="1958" xr:uid="{00000000-0005-0000-0000-0000BB070000}"/>
    <cellStyle name="쉼표 [0] 3 2 8 2 2 2" xfId="1959" xr:uid="{00000000-0005-0000-0000-0000BC070000}"/>
    <cellStyle name="쉼표 [0] 3 2 8 3" xfId="1960" xr:uid="{00000000-0005-0000-0000-0000BD070000}"/>
    <cellStyle name="쉼표 [0] 3 2 8 4" xfId="1961" xr:uid="{00000000-0005-0000-0000-0000BE070000}"/>
    <cellStyle name="쉼표 [0] 3 2 8 5" xfId="1962" xr:uid="{00000000-0005-0000-0000-0000BF070000}"/>
    <cellStyle name="쉼표 [0] 3 2 8 6" xfId="1963" xr:uid="{00000000-0005-0000-0000-0000C0070000}"/>
    <cellStyle name="쉼표 [0] 3 2 9" xfId="1964" xr:uid="{00000000-0005-0000-0000-0000C1070000}"/>
    <cellStyle name="쉼표 [0] 3 2 9 2" xfId="1965" xr:uid="{00000000-0005-0000-0000-0000C2070000}"/>
    <cellStyle name="쉼표 [0] 3 2 9 2 2" xfId="1966" xr:uid="{00000000-0005-0000-0000-0000C3070000}"/>
    <cellStyle name="쉼표 [0] 3 2 9 2 2 2" xfId="1967" xr:uid="{00000000-0005-0000-0000-0000C4070000}"/>
    <cellStyle name="쉼표 [0] 3 2 9 3" xfId="1968" xr:uid="{00000000-0005-0000-0000-0000C5070000}"/>
    <cellStyle name="쉼표 [0] 3 2 9 4" xfId="1969" xr:uid="{00000000-0005-0000-0000-0000C6070000}"/>
    <cellStyle name="쉼표 [0] 3 2 9 5" xfId="1970" xr:uid="{00000000-0005-0000-0000-0000C7070000}"/>
    <cellStyle name="쉼표 [0] 3 2 9 6" xfId="1971" xr:uid="{00000000-0005-0000-0000-0000C8070000}"/>
    <cellStyle name="쉼표 [0] 3 20" xfId="1972" xr:uid="{00000000-0005-0000-0000-0000C9070000}"/>
    <cellStyle name="쉼표 [0] 3 21" xfId="1973" xr:uid="{00000000-0005-0000-0000-0000CA070000}"/>
    <cellStyle name="쉼표 [0] 3 21 2" xfId="1974" xr:uid="{00000000-0005-0000-0000-0000CB070000}"/>
    <cellStyle name="쉼표 [0] 3 21 2 2" xfId="1975" xr:uid="{00000000-0005-0000-0000-0000CC070000}"/>
    <cellStyle name="쉼표 [0] 3 22" xfId="1976" xr:uid="{00000000-0005-0000-0000-0000CD070000}"/>
    <cellStyle name="쉼표 [0] 3 22 2" xfId="1977" xr:uid="{00000000-0005-0000-0000-0000CE070000}"/>
    <cellStyle name="쉼표 [0] 3 22 2 2" xfId="1978" xr:uid="{00000000-0005-0000-0000-0000CF070000}"/>
    <cellStyle name="쉼표 [0] 3 23" xfId="1979" xr:uid="{00000000-0005-0000-0000-0000D0070000}"/>
    <cellStyle name="쉼표 [0] 3 23 2" xfId="1980" xr:uid="{00000000-0005-0000-0000-0000D1070000}"/>
    <cellStyle name="쉼표 [0] 3 23 2 2" xfId="1981" xr:uid="{00000000-0005-0000-0000-0000D2070000}"/>
    <cellStyle name="쉼표 [0] 3 24" xfId="1982" xr:uid="{00000000-0005-0000-0000-0000D3070000}"/>
    <cellStyle name="쉼표 [0] 3 25" xfId="1983" xr:uid="{00000000-0005-0000-0000-0000D4070000}"/>
    <cellStyle name="쉼표 [0] 3 26" xfId="1984" xr:uid="{00000000-0005-0000-0000-0000D5070000}"/>
    <cellStyle name="쉼표 [0] 3 27" xfId="1985" xr:uid="{00000000-0005-0000-0000-0000D6070000}"/>
    <cellStyle name="쉼표 [0] 3 28" xfId="1986" xr:uid="{00000000-0005-0000-0000-0000D7070000}"/>
    <cellStyle name="쉼표 [0] 3 29" xfId="1987" xr:uid="{00000000-0005-0000-0000-0000D8070000}"/>
    <cellStyle name="쉼표 [0] 3 3" xfId="1988" xr:uid="{00000000-0005-0000-0000-0000D9070000}"/>
    <cellStyle name="쉼표 [0] 3 3 2" xfId="1989" xr:uid="{00000000-0005-0000-0000-0000DA070000}"/>
    <cellStyle name="쉼표 [0] 3 3 2 2" xfId="1990" xr:uid="{00000000-0005-0000-0000-0000DB070000}"/>
    <cellStyle name="쉼표 [0] 3 3 2 2 2" xfId="1991" xr:uid="{00000000-0005-0000-0000-0000DC070000}"/>
    <cellStyle name="쉼표 [0] 3 3 2 3" xfId="1992" xr:uid="{00000000-0005-0000-0000-0000DD070000}"/>
    <cellStyle name="쉼표 [0] 3 3 3" xfId="1993" xr:uid="{00000000-0005-0000-0000-0000DE070000}"/>
    <cellStyle name="쉼표 [0] 3 3 4" xfId="1994" xr:uid="{00000000-0005-0000-0000-0000DF070000}"/>
    <cellStyle name="쉼표 [0] 3 3 5" xfId="1995" xr:uid="{00000000-0005-0000-0000-0000E0070000}"/>
    <cellStyle name="쉼표 [0] 3 3 6" xfId="1996" xr:uid="{00000000-0005-0000-0000-0000E1070000}"/>
    <cellStyle name="쉼표 [0] 3 3 7" xfId="1997" xr:uid="{00000000-0005-0000-0000-0000E2070000}"/>
    <cellStyle name="쉼표 [0] 3 30" xfId="1998" xr:uid="{00000000-0005-0000-0000-0000E3070000}"/>
    <cellStyle name="쉼표 [0] 3 31" xfId="1999" xr:uid="{00000000-0005-0000-0000-0000E4070000}"/>
    <cellStyle name="쉼표 [0] 3 32" xfId="2000" xr:uid="{00000000-0005-0000-0000-0000E5070000}"/>
    <cellStyle name="쉼표 [0] 3 33" xfId="2001" xr:uid="{00000000-0005-0000-0000-0000E6070000}"/>
    <cellStyle name="쉼표 [0] 3 34" xfId="2002" xr:uid="{00000000-0005-0000-0000-0000E7070000}"/>
    <cellStyle name="쉼표 [0] 3 35" xfId="2003" xr:uid="{00000000-0005-0000-0000-0000E8070000}"/>
    <cellStyle name="쉼표 [0] 3 36" xfId="2004" xr:uid="{00000000-0005-0000-0000-0000E9070000}"/>
    <cellStyle name="쉼표 [0] 3 37" xfId="2005" xr:uid="{00000000-0005-0000-0000-0000EA070000}"/>
    <cellStyle name="쉼표 [0] 3 38" xfId="2006" xr:uid="{00000000-0005-0000-0000-0000EB070000}"/>
    <cellStyle name="쉼표 [0] 3 39" xfId="2007" xr:uid="{00000000-0005-0000-0000-0000EC070000}"/>
    <cellStyle name="쉼표 [0] 3 4" xfId="2008" xr:uid="{00000000-0005-0000-0000-0000ED070000}"/>
    <cellStyle name="쉼표 [0] 3 4 2" xfId="2009" xr:uid="{00000000-0005-0000-0000-0000EE070000}"/>
    <cellStyle name="쉼표 [0] 3 4 2 2" xfId="2010" xr:uid="{00000000-0005-0000-0000-0000EF070000}"/>
    <cellStyle name="쉼표 [0] 3 4 2 2 2" xfId="2011" xr:uid="{00000000-0005-0000-0000-0000F0070000}"/>
    <cellStyle name="쉼표 [0] 3 4 2 3" xfId="2012" xr:uid="{00000000-0005-0000-0000-0000F1070000}"/>
    <cellStyle name="쉼표 [0] 3 4 3" xfId="2013" xr:uid="{00000000-0005-0000-0000-0000F2070000}"/>
    <cellStyle name="쉼표 [0] 3 4 4" xfId="2014" xr:uid="{00000000-0005-0000-0000-0000F3070000}"/>
    <cellStyle name="쉼표 [0] 3 4 5" xfId="2015" xr:uid="{00000000-0005-0000-0000-0000F4070000}"/>
    <cellStyle name="쉼표 [0] 3 4 6" xfId="2016" xr:uid="{00000000-0005-0000-0000-0000F5070000}"/>
    <cellStyle name="쉼표 [0] 3 4 7" xfId="2017" xr:uid="{00000000-0005-0000-0000-0000F6070000}"/>
    <cellStyle name="쉼표 [0] 3 40" xfId="2018" xr:uid="{00000000-0005-0000-0000-0000F7070000}"/>
    <cellStyle name="쉼표 [0] 3 41" xfId="2019" xr:uid="{00000000-0005-0000-0000-0000F8070000}"/>
    <cellStyle name="쉼표 [0] 3 42" xfId="2020" xr:uid="{00000000-0005-0000-0000-0000F9070000}"/>
    <cellStyle name="쉼표 [0] 3 43" xfId="2021" xr:uid="{00000000-0005-0000-0000-0000FA070000}"/>
    <cellStyle name="쉼표 [0] 3 44" xfId="2022" xr:uid="{00000000-0005-0000-0000-0000FB070000}"/>
    <cellStyle name="쉼표 [0] 3 45" xfId="2023" xr:uid="{00000000-0005-0000-0000-0000FC070000}"/>
    <cellStyle name="쉼표 [0] 3 46" xfId="2024" xr:uid="{00000000-0005-0000-0000-0000FD070000}"/>
    <cellStyle name="쉼표 [0] 3 47" xfId="2025" xr:uid="{00000000-0005-0000-0000-0000FE070000}"/>
    <cellStyle name="쉼표 [0] 3 5" xfId="2026" xr:uid="{00000000-0005-0000-0000-0000FF070000}"/>
    <cellStyle name="쉼표 [0] 3 5 2" xfId="2027" xr:uid="{00000000-0005-0000-0000-000000080000}"/>
    <cellStyle name="쉼표 [0] 3 5 2 2" xfId="2028" xr:uid="{00000000-0005-0000-0000-000001080000}"/>
    <cellStyle name="쉼표 [0] 3 5 2 2 2" xfId="2029" xr:uid="{00000000-0005-0000-0000-000002080000}"/>
    <cellStyle name="쉼표 [0] 3 5 2 3" xfId="2030" xr:uid="{00000000-0005-0000-0000-000003080000}"/>
    <cellStyle name="쉼표 [0] 3 5 3" xfId="2031" xr:uid="{00000000-0005-0000-0000-000004080000}"/>
    <cellStyle name="쉼표 [0] 3 5 4" xfId="2032" xr:uid="{00000000-0005-0000-0000-000005080000}"/>
    <cellStyle name="쉼표 [0] 3 5 5" xfId="2033" xr:uid="{00000000-0005-0000-0000-000006080000}"/>
    <cellStyle name="쉼표 [0] 3 5 6" xfId="2034" xr:uid="{00000000-0005-0000-0000-000007080000}"/>
    <cellStyle name="쉼표 [0] 3 5 7" xfId="2035" xr:uid="{00000000-0005-0000-0000-000008080000}"/>
    <cellStyle name="쉼표 [0] 3 6" xfId="2036" xr:uid="{00000000-0005-0000-0000-000009080000}"/>
    <cellStyle name="쉼표 [0] 3 6 10" xfId="2037" xr:uid="{00000000-0005-0000-0000-00000A080000}"/>
    <cellStyle name="쉼표 [0] 3 6 11" xfId="2038" xr:uid="{00000000-0005-0000-0000-00000B080000}"/>
    <cellStyle name="쉼표 [0] 3 6 12" xfId="2039" xr:uid="{00000000-0005-0000-0000-00000C080000}"/>
    <cellStyle name="쉼표 [0] 3 6 2" xfId="2040" xr:uid="{00000000-0005-0000-0000-00000D080000}"/>
    <cellStyle name="쉼표 [0] 3 6 2 2" xfId="2041" xr:uid="{00000000-0005-0000-0000-00000E080000}"/>
    <cellStyle name="쉼표 [0] 3 6 2 3" xfId="2042" xr:uid="{00000000-0005-0000-0000-00000F080000}"/>
    <cellStyle name="쉼표 [0] 3 6 3" xfId="2043" xr:uid="{00000000-0005-0000-0000-000010080000}"/>
    <cellStyle name="쉼표 [0] 3 6 4" xfId="2044" xr:uid="{00000000-0005-0000-0000-000011080000}"/>
    <cellStyle name="쉼표 [0] 3 6 5" xfId="2045" xr:uid="{00000000-0005-0000-0000-000012080000}"/>
    <cellStyle name="쉼표 [0] 3 6 6" xfId="2046" xr:uid="{00000000-0005-0000-0000-000013080000}"/>
    <cellStyle name="쉼표 [0] 3 6 7" xfId="2047" xr:uid="{00000000-0005-0000-0000-000014080000}"/>
    <cellStyle name="쉼표 [0] 3 6 8" xfId="2048" xr:uid="{00000000-0005-0000-0000-000015080000}"/>
    <cellStyle name="쉼표 [0] 3 6 9" xfId="2049" xr:uid="{00000000-0005-0000-0000-000016080000}"/>
    <cellStyle name="쉼표 [0] 3 7" xfId="2050" xr:uid="{00000000-0005-0000-0000-000017080000}"/>
    <cellStyle name="쉼표 [0] 3 7 2" xfId="2051" xr:uid="{00000000-0005-0000-0000-000018080000}"/>
    <cellStyle name="쉼표 [0] 3 7 2 2" xfId="2052" xr:uid="{00000000-0005-0000-0000-000019080000}"/>
    <cellStyle name="쉼표 [0] 3 7 2 3" xfId="2053" xr:uid="{00000000-0005-0000-0000-00001A080000}"/>
    <cellStyle name="쉼표 [0] 3 7 2 4" xfId="2054" xr:uid="{00000000-0005-0000-0000-00001B080000}"/>
    <cellStyle name="쉼표 [0] 3 7 2 5" xfId="2055" xr:uid="{00000000-0005-0000-0000-00001C080000}"/>
    <cellStyle name="쉼표 [0] 3 7 2 6" xfId="2056" xr:uid="{00000000-0005-0000-0000-00001D080000}"/>
    <cellStyle name="쉼표 [0] 3 7 2 7" xfId="2057" xr:uid="{00000000-0005-0000-0000-00001E080000}"/>
    <cellStyle name="쉼표 [0] 3 7 2 8" xfId="2058" xr:uid="{00000000-0005-0000-0000-00001F080000}"/>
    <cellStyle name="쉼표 [0] 3 7 2 9" xfId="2059" xr:uid="{00000000-0005-0000-0000-000020080000}"/>
    <cellStyle name="쉼표 [0] 3 7 3" xfId="2060" xr:uid="{00000000-0005-0000-0000-000021080000}"/>
    <cellStyle name="쉼표 [0] 3 7 3 2" xfId="2061" xr:uid="{00000000-0005-0000-0000-000022080000}"/>
    <cellStyle name="쉼표 [0] 3 7 3 3" xfId="2062" xr:uid="{00000000-0005-0000-0000-000023080000}"/>
    <cellStyle name="쉼표 [0] 3 7 3 4" xfId="2063" xr:uid="{00000000-0005-0000-0000-000024080000}"/>
    <cellStyle name="쉼표 [0] 3 7 3 5" xfId="2064" xr:uid="{00000000-0005-0000-0000-000025080000}"/>
    <cellStyle name="쉼표 [0] 3 7 3 5 2" xfId="2065" xr:uid="{00000000-0005-0000-0000-000026080000}"/>
    <cellStyle name="쉼표 [0] 3 7 3 6" xfId="2066" xr:uid="{00000000-0005-0000-0000-000027080000}"/>
    <cellStyle name="쉼표 [0] 3 7 4" xfId="2067" xr:uid="{00000000-0005-0000-0000-000028080000}"/>
    <cellStyle name="쉼표 [0] 3 7 4 2" xfId="2068" xr:uid="{00000000-0005-0000-0000-000029080000}"/>
    <cellStyle name="쉼표 [0] 3 7 4 3" xfId="2069" xr:uid="{00000000-0005-0000-0000-00002A080000}"/>
    <cellStyle name="쉼표 [0] 3 7 4 4" xfId="2070" xr:uid="{00000000-0005-0000-0000-00002B080000}"/>
    <cellStyle name="쉼표 [0] 3 7 4 5" xfId="2071" xr:uid="{00000000-0005-0000-0000-00002C080000}"/>
    <cellStyle name="쉼표 [0] 3 7 5" xfId="2072" xr:uid="{00000000-0005-0000-0000-00002D080000}"/>
    <cellStyle name="쉼표 [0] 3 7 5 2" xfId="2073" xr:uid="{00000000-0005-0000-0000-00002E080000}"/>
    <cellStyle name="쉼표 [0] 3 7 6" xfId="2074" xr:uid="{00000000-0005-0000-0000-00002F080000}"/>
    <cellStyle name="쉼표 [0] 3 8" xfId="2075" xr:uid="{00000000-0005-0000-0000-000030080000}"/>
    <cellStyle name="쉼표 [0] 3 9" xfId="2076" xr:uid="{00000000-0005-0000-0000-000031080000}"/>
    <cellStyle name="쉼표 [0] 3 9 2" xfId="2077" xr:uid="{00000000-0005-0000-0000-000032080000}"/>
    <cellStyle name="쉼표 [0] 3 9 2 2" xfId="2078" xr:uid="{00000000-0005-0000-0000-000033080000}"/>
    <cellStyle name="쉼표 [0] 30" xfId="2079" xr:uid="{00000000-0005-0000-0000-000034080000}"/>
    <cellStyle name="쉼표 [0] 31" xfId="2080" xr:uid="{00000000-0005-0000-0000-000035080000}"/>
    <cellStyle name="쉼표 [0] 31 2" xfId="3219" xr:uid="{00000000-0005-0000-0000-000036080000}"/>
    <cellStyle name="쉼표 [0] 32" xfId="2081" xr:uid="{00000000-0005-0000-0000-000037080000}"/>
    <cellStyle name="쉼표 [0] 33" xfId="2082" xr:uid="{00000000-0005-0000-0000-000038080000}"/>
    <cellStyle name="쉼표 [0] 34" xfId="2083" xr:uid="{00000000-0005-0000-0000-000039080000}"/>
    <cellStyle name="쉼표 [0] 35" xfId="2084" xr:uid="{00000000-0005-0000-0000-00003A080000}"/>
    <cellStyle name="쉼표 [0] 36" xfId="2085" xr:uid="{00000000-0005-0000-0000-00003B080000}"/>
    <cellStyle name="쉼표 [0] 36 2" xfId="2086" xr:uid="{00000000-0005-0000-0000-00003C080000}"/>
    <cellStyle name="쉼표 [0] 37" xfId="2087" xr:uid="{00000000-0005-0000-0000-00003D080000}"/>
    <cellStyle name="쉼표 [0] 38" xfId="2088" xr:uid="{00000000-0005-0000-0000-00003E080000}"/>
    <cellStyle name="쉼표 [0] 38 2" xfId="3116" xr:uid="{00000000-0005-0000-0000-00003F080000}"/>
    <cellStyle name="쉼표 [0] 39" xfId="2089" xr:uid="{00000000-0005-0000-0000-000040080000}"/>
    <cellStyle name="쉼표 [0] 39 2" xfId="3117" xr:uid="{00000000-0005-0000-0000-000041080000}"/>
    <cellStyle name="쉼표 [0] 4" xfId="2090" xr:uid="{00000000-0005-0000-0000-000042080000}"/>
    <cellStyle name="쉼표 [0] 4 10" xfId="2091" xr:uid="{00000000-0005-0000-0000-000043080000}"/>
    <cellStyle name="쉼표 [0] 4 11" xfId="2092" xr:uid="{00000000-0005-0000-0000-000044080000}"/>
    <cellStyle name="쉼표 [0] 4 12" xfId="2093" xr:uid="{00000000-0005-0000-0000-000045080000}"/>
    <cellStyle name="쉼표 [0] 4 12 2" xfId="2094" xr:uid="{00000000-0005-0000-0000-000046080000}"/>
    <cellStyle name="쉼표 [0] 4 12 2 2" xfId="2095" xr:uid="{00000000-0005-0000-0000-000047080000}"/>
    <cellStyle name="쉼표 [0] 4 12 2 2 2" xfId="2096" xr:uid="{00000000-0005-0000-0000-000048080000}"/>
    <cellStyle name="쉼표 [0] 4 12 3" xfId="2097" xr:uid="{00000000-0005-0000-0000-000049080000}"/>
    <cellStyle name="쉼표 [0] 4 12 4" xfId="2098" xr:uid="{00000000-0005-0000-0000-00004A080000}"/>
    <cellStyle name="쉼표 [0] 4 12 5" xfId="2099" xr:uid="{00000000-0005-0000-0000-00004B080000}"/>
    <cellStyle name="쉼표 [0] 4 12 6" xfId="2100" xr:uid="{00000000-0005-0000-0000-00004C080000}"/>
    <cellStyle name="쉼표 [0] 4 12 7" xfId="2101" xr:uid="{00000000-0005-0000-0000-00004D080000}"/>
    <cellStyle name="쉼표 [0] 4 13" xfId="2102" xr:uid="{00000000-0005-0000-0000-00004E080000}"/>
    <cellStyle name="쉼표 [0] 4 13 2" xfId="2103" xr:uid="{00000000-0005-0000-0000-00004F080000}"/>
    <cellStyle name="쉼표 [0] 4 13 2 2" xfId="2104" xr:uid="{00000000-0005-0000-0000-000050080000}"/>
    <cellStyle name="쉼표 [0] 4 13 2 2 2" xfId="2105" xr:uid="{00000000-0005-0000-0000-000051080000}"/>
    <cellStyle name="쉼표 [0] 4 13 3" xfId="2106" xr:uid="{00000000-0005-0000-0000-000052080000}"/>
    <cellStyle name="쉼표 [0] 4 13 4" xfId="2107" xr:uid="{00000000-0005-0000-0000-000053080000}"/>
    <cellStyle name="쉼표 [0] 4 13 5" xfId="2108" xr:uid="{00000000-0005-0000-0000-000054080000}"/>
    <cellStyle name="쉼표 [0] 4 13 6" xfId="2109" xr:uid="{00000000-0005-0000-0000-000055080000}"/>
    <cellStyle name="쉼표 [0] 4 13 7" xfId="2110" xr:uid="{00000000-0005-0000-0000-000056080000}"/>
    <cellStyle name="쉼표 [0] 4 14" xfId="2111" xr:uid="{00000000-0005-0000-0000-000057080000}"/>
    <cellStyle name="쉼표 [0] 4 14 2" xfId="2112" xr:uid="{00000000-0005-0000-0000-000058080000}"/>
    <cellStyle name="쉼표 [0] 4 14 2 2" xfId="2113" xr:uid="{00000000-0005-0000-0000-000059080000}"/>
    <cellStyle name="쉼표 [0] 4 14 2 2 2" xfId="2114" xr:uid="{00000000-0005-0000-0000-00005A080000}"/>
    <cellStyle name="쉼표 [0] 4 14 3" xfId="2115" xr:uid="{00000000-0005-0000-0000-00005B080000}"/>
    <cellStyle name="쉼표 [0] 4 14 4" xfId="2116" xr:uid="{00000000-0005-0000-0000-00005C080000}"/>
    <cellStyle name="쉼표 [0] 4 14 5" xfId="2117" xr:uid="{00000000-0005-0000-0000-00005D080000}"/>
    <cellStyle name="쉼표 [0] 4 14 6" xfId="2118" xr:uid="{00000000-0005-0000-0000-00005E080000}"/>
    <cellStyle name="쉼표 [0] 4 14 7" xfId="2119" xr:uid="{00000000-0005-0000-0000-00005F080000}"/>
    <cellStyle name="쉼표 [0] 4 15" xfId="2120" xr:uid="{00000000-0005-0000-0000-000060080000}"/>
    <cellStyle name="쉼표 [0] 4 16" xfId="2121" xr:uid="{00000000-0005-0000-0000-000061080000}"/>
    <cellStyle name="쉼표 [0] 4 17" xfId="2122" xr:uid="{00000000-0005-0000-0000-000062080000}"/>
    <cellStyle name="쉼표 [0] 4 18" xfId="2123" xr:uid="{00000000-0005-0000-0000-000063080000}"/>
    <cellStyle name="쉼표 [0] 4 18 2" xfId="2124" xr:uid="{00000000-0005-0000-0000-000064080000}"/>
    <cellStyle name="쉼표 [0] 4 18 2 2" xfId="2125" xr:uid="{00000000-0005-0000-0000-000065080000}"/>
    <cellStyle name="쉼표 [0] 4 19" xfId="2126" xr:uid="{00000000-0005-0000-0000-000066080000}"/>
    <cellStyle name="쉼표 [0] 4 19 2" xfId="2127" xr:uid="{00000000-0005-0000-0000-000067080000}"/>
    <cellStyle name="쉼표 [0] 4 19 2 2" xfId="2128" xr:uid="{00000000-0005-0000-0000-000068080000}"/>
    <cellStyle name="쉼표 [0] 4 2" xfId="2129" xr:uid="{00000000-0005-0000-0000-000069080000}"/>
    <cellStyle name="쉼표 [0] 4 2 10" xfId="2130" xr:uid="{00000000-0005-0000-0000-00006A080000}"/>
    <cellStyle name="쉼표 [0] 4 2 10 2" xfId="2131" xr:uid="{00000000-0005-0000-0000-00006B080000}"/>
    <cellStyle name="쉼표 [0] 4 2 10 2 2" xfId="2132" xr:uid="{00000000-0005-0000-0000-00006C080000}"/>
    <cellStyle name="쉼표 [0] 4 2 10 2 2 2" xfId="2133" xr:uid="{00000000-0005-0000-0000-00006D080000}"/>
    <cellStyle name="쉼표 [0] 4 2 10 3" xfId="2134" xr:uid="{00000000-0005-0000-0000-00006E080000}"/>
    <cellStyle name="쉼표 [0] 4 2 10 4" xfId="2135" xr:uid="{00000000-0005-0000-0000-00006F080000}"/>
    <cellStyle name="쉼표 [0] 4 2 10 5" xfId="2136" xr:uid="{00000000-0005-0000-0000-000070080000}"/>
    <cellStyle name="쉼표 [0] 4 2 10 6" xfId="2137" xr:uid="{00000000-0005-0000-0000-000071080000}"/>
    <cellStyle name="쉼표 [0] 4 2 11" xfId="2138" xr:uid="{00000000-0005-0000-0000-000072080000}"/>
    <cellStyle name="쉼표 [0] 4 2 11 2" xfId="2139" xr:uid="{00000000-0005-0000-0000-000073080000}"/>
    <cellStyle name="쉼표 [0] 4 2 11 2 2" xfId="2140" xr:uid="{00000000-0005-0000-0000-000074080000}"/>
    <cellStyle name="쉼표 [0] 4 2 11 2 2 2" xfId="2141" xr:uid="{00000000-0005-0000-0000-000075080000}"/>
    <cellStyle name="쉼표 [0] 4 2 11 3" xfId="2142" xr:uid="{00000000-0005-0000-0000-000076080000}"/>
    <cellStyle name="쉼표 [0] 4 2 11 4" xfId="2143" xr:uid="{00000000-0005-0000-0000-000077080000}"/>
    <cellStyle name="쉼표 [0] 4 2 11 5" xfId="2144" xr:uid="{00000000-0005-0000-0000-000078080000}"/>
    <cellStyle name="쉼표 [0] 4 2 11 6" xfId="2145" xr:uid="{00000000-0005-0000-0000-000079080000}"/>
    <cellStyle name="쉼표 [0] 4 2 12" xfId="2146" xr:uid="{00000000-0005-0000-0000-00007A080000}"/>
    <cellStyle name="쉼표 [0] 4 2 12 2" xfId="2147" xr:uid="{00000000-0005-0000-0000-00007B080000}"/>
    <cellStyle name="쉼표 [0] 4 2 12 2 2" xfId="2148" xr:uid="{00000000-0005-0000-0000-00007C080000}"/>
    <cellStyle name="쉼표 [0] 4 2 12 2 2 2" xfId="2149" xr:uid="{00000000-0005-0000-0000-00007D080000}"/>
    <cellStyle name="쉼표 [0] 4 2 12 3" xfId="2150" xr:uid="{00000000-0005-0000-0000-00007E080000}"/>
    <cellStyle name="쉼표 [0] 4 2 12 4" xfId="2151" xr:uid="{00000000-0005-0000-0000-00007F080000}"/>
    <cellStyle name="쉼표 [0] 4 2 12 5" xfId="2152" xr:uid="{00000000-0005-0000-0000-000080080000}"/>
    <cellStyle name="쉼표 [0] 4 2 12 6" xfId="2153" xr:uid="{00000000-0005-0000-0000-000081080000}"/>
    <cellStyle name="쉼표 [0] 4 2 13" xfId="2154" xr:uid="{00000000-0005-0000-0000-000082080000}"/>
    <cellStyle name="쉼표 [0] 4 2 13 2" xfId="2155" xr:uid="{00000000-0005-0000-0000-000083080000}"/>
    <cellStyle name="쉼표 [0] 4 2 13 2 2" xfId="2156" xr:uid="{00000000-0005-0000-0000-000084080000}"/>
    <cellStyle name="쉼표 [0] 4 2 13 2 2 2" xfId="2157" xr:uid="{00000000-0005-0000-0000-000085080000}"/>
    <cellStyle name="쉼표 [0] 4 2 13 3" xfId="2158" xr:uid="{00000000-0005-0000-0000-000086080000}"/>
    <cellStyle name="쉼표 [0] 4 2 13 4" xfId="2159" xr:uid="{00000000-0005-0000-0000-000087080000}"/>
    <cellStyle name="쉼표 [0] 4 2 13 5" xfId="2160" xr:uid="{00000000-0005-0000-0000-000088080000}"/>
    <cellStyle name="쉼표 [0] 4 2 13 6" xfId="2161" xr:uid="{00000000-0005-0000-0000-000089080000}"/>
    <cellStyle name="쉼표 [0] 4 2 14" xfId="2162" xr:uid="{00000000-0005-0000-0000-00008A080000}"/>
    <cellStyle name="쉼표 [0] 4 2 14 2" xfId="2163" xr:uid="{00000000-0005-0000-0000-00008B080000}"/>
    <cellStyle name="쉼표 [0] 4 2 14 2 2" xfId="2164" xr:uid="{00000000-0005-0000-0000-00008C080000}"/>
    <cellStyle name="쉼표 [0] 4 2 14 2 2 2" xfId="2165" xr:uid="{00000000-0005-0000-0000-00008D080000}"/>
    <cellStyle name="쉼표 [0] 4 2 14 3" xfId="2166" xr:uid="{00000000-0005-0000-0000-00008E080000}"/>
    <cellStyle name="쉼표 [0] 4 2 14 4" xfId="2167" xr:uid="{00000000-0005-0000-0000-00008F080000}"/>
    <cellStyle name="쉼표 [0] 4 2 14 5" xfId="2168" xr:uid="{00000000-0005-0000-0000-000090080000}"/>
    <cellStyle name="쉼표 [0] 4 2 14 6" xfId="2169" xr:uid="{00000000-0005-0000-0000-000091080000}"/>
    <cellStyle name="쉼표 [0] 4 2 15" xfId="2170" xr:uid="{00000000-0005-0000-0000-000092080000}"/>
    <cellStyle name="쉼표 [0] 4 2 15 2" xfId="2171" xr:uid="{00000000-0005-0000-0000-000093080000}"/>
    <cellStyle name="쉼표 [0] 4 2 15 2 2" xfId="2172" xr:uid="{00000000-0005-0000-0000-000094080000}"/>
    <cellStyle name="쉼표 [0] 4 2 15 2 2 2" xfId="2173" xr:uid="{00000000-0005-0000-0000-000095080000}"/>
    <cellStyle name="쉼표 [0] 4 2 15 3" xfId="2174" xr:uid="{00000000-0005-0000-0000-000096080000}"/>
    <cellStyle name="쉼표 [0] 4 2 15 4" xfId="2175" xr:uid="{00000000-0005-0000-0000-000097080000}"/>
    <cellStyle name="쉼표 [0] 4 2 15 5" xfId="2176" xr:uid="{00000000-0005-0000-0000-000098080000}"/>
    <cellStyle name="쉼표 [0] 4 2 15 6" xfId="2177" xr:uid="{00000000-0005-0000-0000-000099080000}"/>
    <cellStyle name="쉼표 [0] 4 2 16" xfId="2178" xr:uid="{00000000-0005-0000-0000-00009A080000}"/>
    <cellStyle name="쉼표 [0] 4 2 16 2" xfId="2179" xr:uid="{00000000-0005-0000-0000-00009B080000}"/>
    <cellStyle name="쉼표 [0] 4 2 16 2 2" xfId="2180" xr:uid="{00000000-0005-0000-0000-00009C080000}"/>
    <cellStyle name="쉼표 [0] 4 2 16 2 2 2" xfId="2181" xr:uid="{00000000-0005-0000-0000-00009D080000}"/>
    <cellStyle name="쉼표 [0] 4 2 16 3" xfId="2182" xr:uid="{00000000-0005-0000-0000-00009E080000}"/>
    <cellStyle name="쉼표 [0] 4 2 16 4" xfId="2183" xr:uid="{00000000-0005-0000-0000-00009F080000}"/>
    <cellStyle name="쉼표 [0] 4 2 16 5" xfId="2184" xr:uid="{00000000-0005-0000-0000-0000A0080000}"/>
    <cellStyle name="쉼표 [0] 4 2 16 6" xfId="2185" xr:uid="{00000000-0005-0000-0000-0000A1080000}"/>
    <cellStyle name="쉼표 [0] 4 2 17" xfId="2186" xr:uid="{00000000-0005-0000-0000-0000A2080000}"/>
    <cellStyle name="쉼표 [0] 4 2 17 2" xfId="2187" xr:uid="{00000000-0005-0000-0000-0000A3080000}"/>
    <cellStyle name="쉼표 [0] 4 2 17 2 2" xfId="2188" xr:uid="{00000000-0005-0000-0000-0000A4080000}"/>
    <cellStyle name="쉼표 [0] 4 2 17 2 2 2" xfId="2189" xr:uid="{00000000-0005-0000-0000-0000A5080000}"/>
    <cellStyle name="쉼표 [0] 4 2 17 3" xfId="2190" xr:uid="{00000000-0005-0000-0000-0000A6080000}"/>
    <cellStyle name="쉼표 [0] 4 2 17 4" xfId="2191" xr:uid="{00000000-0005-0000-0000-0000A7080000}"/>
    <cellStyle name="쉼표 [0] 4 2 17 5" xfId="2192" xr:uid="{00000000-0005-0000-0000-0000A8080000}"/>
    <cellStyle name="쉼표 [0] 4 2 17 6" xfId="2193" xr:uid="{00000000-0005-0000-0000-0000A9080000}"/>
    <cellStyle name="쉼표 [0] 4 2 18" xfId="2194" xr:uid="{00000000-0005-0000-0000-0000AA080000}"/>
    <cellStyle name="쉼표 [0] 4 2 18 2" xfId="2195" xr:uid="{00000000-0005-0000-0000-0000AB080000}"/>
    <cellStyle name="쉼표 [0] 4 2 18 2 2" xfId="2196" xr:uid="{00000000-0005-0000-0000-0000AC080000}"/>
    <cellStyle name="쉼표 [0] 4 2 18 2 2 2" xfId="2197" xr:uid="{00000000-0005-0000-0000-0000AD080000}"/>
    <cellStyle name="쉼표 [0] 4 2 18 3" xfId="2198" xr:uid="{00000000-0005-0000-0000-0000AE080000}"/>
    <cellStyle name="쉼표 [0] 4 2 18 4" xfId="2199" xr:uid="{00000000-0005-0000-0000-0000AF080000}"/>
    <cellStyle name="쉼표 [0] 4 2 18 5" xfId="2200" xr:uid="{00000000-0005-0000-0000-0000B0080000}"/>
    <cellStyle name="쉼표 [0] 4 2 18 6" xfId="2201" xr:uid="{00000000-0005-0000-0000-0000B1080000}"/>
    <cellStyle name="쉼표 [0] 4 2 19" xfId="2202" xr:uid="{00000000-0005-0000-0000-0000B2080000}"/>
    <cellStyle name="쉼표 [0] 4 2 19 2" xfId="2203" xr:uid="{00000000-0005-0000-0000-0000B3080000}"/>
    <cellStyle name="쉼표 [0] 4 2 19 2 2" xfId="2204" xr:uid="{00000000-0005-0000-0000-0000B4080000}"/>
    <cellStyle name="쉼표 [0] 4 2 19 2 2 2" xfId="2205" xr:uid="{00000000-0005-0000-0000-0000B5080000}"/>
    <cellStyle name="쉼표 [0] 4 2 19 3" xfId="2206" xr:uid="{00000000-0005-0000-0000-0000B6080000}"/>
    <cellStyle name="쉼표 [0] 4 2 19 4" xfId="2207" xr:uid="{00000000-0005-0000-0000-0000B7080000}"/>
    <cellStyle name="쉼표 [0] 4 2 19 5" xfId="2208" xr:uid="{00000000-0005-0000-0000-0000B8080000}"/>
    <cellStyle name="쉼표 [0] 4 2 19 6" xfId="2209" xr:uid="{00000000-0005-0000-0000-0000B9080000}"/>
    <cellStyle name="쉼표 [0] 4 2 2" xfId="2210" xr:uid="{00000000-0005-0000-0000-0000BA080000}"/>
    <cellStyle name="쉼표 [0] 4 2 2 2" xfId="2211" xr:uid="{00000000-0005-0000-0000-0000BB080000}"/>
    <cellStyle name="쉼표 [0] 4 2 2 2 2" xfId="2212" xr:uid="{00000000-0005-0000-0000-0000BC080000}"/>
    <cellStyle name="쉼표 [0] 4 2 2 2 2 2" xfId="2213" xr:uid="{00000000-0005-0000-0000-0000BD080000}"/>
    <cellStyle name="쉼표 [0] 4 2 2 2 2 3" xfId="2214" xr:uid="{00000000-0005-0000-0000-0000BE080000}"/>
    <cellStyle name="쉼표 [0] 4 2 2 2 2 4" xfId="2215" xr:uid="{00000000-0005-0000-0000-0000BF080000}"/>
    <cellStyle name="쉼표 [0] 4 2 2 2 2 5" xfId="2216" xr:uid="{00000000-0005-0000-0000-0000C0080000}"/>
    <cellStyle name="쉼표 [0] 4 2 2 2 2 5 2" xfId="2217" xr:uid="{00000000-0005-0000-0000-0000C1080000}"/>
    <cellStyle name="쉼표 [0] 4 2 2 2 2 6" xfId="2218" xr:uid="{00000000-0005-0000-0000-0000C2080000}"/>
    <cellStyle name="쉼표 [0] 4 2 2 2 3" xfId="2219" xr:uid="{00000000-0005-0000-0000-0000C3080000}"/>
    <cellStyle name="쉼표 [0] 4 2 2 2 3 2" xfId="2220" xr:uid="{00000000-0005-0000-0000-0000C4080000}"/>
    <cellStyle name="쉼표 [0] 4 2 2 2 3 3" xfId="2221" xr:uid="{00000000-0005-0000-0000-0000C5080000}"/>
    <cellStyle name="쉼표 [0] 4 2 2 2 3 4" xfId="2222" xr:uid="{00000000-0005-0000-0000-0000C6080000}"/>
    <cellStyle name="쉼표 [0] 4 2 2 2 3 5" xfId="2223" xr:uid="{00000000-0005-0000-0000-0000C7080000}"/>
    <cellStyle name="쉼표 [0] 4 2 2 2 4" xfId="2224" xr:uid="{00000000-0005-0000-0000-0000C8080000}"/>
    <cellStyle name="쉼표 [0] 4 2 2 2 4 2" xfId="2225" xr:uid="{00000000-0005-0000-0000-0000C9080000}"/>
    <cellStyle name="쉼표 [0] 4 2 2 2 4 3" xfId="2226" xr:uid="{00000000-0005-0000-0000-0000CA080000}"/>
    <cellStyle name="쉼표 [0] 4 2 2 2 4 4" xfId="2227" xr:uid="{00000000-0005-0000-0000-0000CB080000}"/>
    <cellStyle name="쉼표 [0] 4 2 2 2 4 5" xfId="2228" xr:uid="{00000000-0005-0000-0000-0000CC080000}"/>
    <cellStyle name="쉼표 [0] 4 2 2 2 5" xfId="2229" xr:uid="{00000000-0005-0000-0000-0000CD080000}"/>
    <cellStyle name="쉼표 [0] 4 2 2 3" xfId="2230" xr:uid="{00000000-0005-0000-0000-0000CE080000}"/>
    <cellStyle name="쉼표 [0] 4 2 2 4" xfId="2231" xr:uid="{00000000-0005-0000-0000-0000CF080000}"/>
    <cellStyle name="쉼표 [0] 4 2 2 5" xfId="2232" xr:uid="{00000000-0005-0000-0000-0000D0080000}"/>
    <cellStyle name="쉼표 [0] 4 2 2 6" xfId="2233" xr:uid="{00000000-0005-0000-0000-0000D1080000}"/>
    <cellStyle name="쉼표 [0] 4 2 2 7" xfId="2234" xr:uid="{00000000-0005-0000-0000-0000D2080000}"/>
    <cellStyle name="쉼표 [0] 4 2 2 8" xfId="2235" xr:uid="{00000000-0005-0000-0000-0000D3080000}"/>
    <cellStyle name="쉼표 [0] 4 2 2 9" xfId="2236" xr:uid="{00000000-0005-0000-0000-0000D4080000}"/>
    <cellStyle name="쉼표 [0] 4 2 20" xfId="2237" xr:uid="{00000000-0005-0000-0000-0000D5080000}"/>
    <cellStyle name="쉼표 [0] 4 2 20 2" xfId="2238" xr:uid="{00000000-0005-0000-0000-0000D6080000}"/>
    <cellStyle name="쉼표 [0] 4 2 20 2 2" xfId="2239" xr:uid="{00000000-0005-0000-0000-0000D7080000}"/>
    <cellStyle name="쉼표 [0] 4 2 20 2 2 2" xfId="2240" xr:uid="{00000000-0005-0000-0000-0000D8080000}"/>
    <cellStyle name="쉼표 [0] 4 2 20 3" xfId="2241" xr:uid="{00000000-0005-0000-0000-0000D9080000}"/>
    <cellStyle name="쉼표 [0] 4 2 20 4" xfId="2242" xr:uid="{00000000-0005-0000-0000-0000DA080000}"/>
    <cellStyle name="쉼표 [0] 4 2 20 5" xfId="2243" xr:uid="{00000000-0005-0000-0000-0000DB080000}"/>
    <cellStyle name="쉼표 [0] 4 2 20 6" xfId="2244" xr:uid="{00000000-0005-0000-0000-0000DC080000}"/>
    <cellStyle name="쉼표 [0] 4 2 21" xfId="2245" xr:uid="{00000000-0005-0000-0000-0000DD080000}"/>
    <cellStyle name="쉼표 [0] 4 2 21 2" xfId="2246" xr:uid="{00000000-0005-0000-0000-0000DE080000}"/>
    <cellStyle name="쉼표 [0] 4 2 21 2 2" xfId="2247" xr:uid="{00000000-0005-0000-0000-0000DF080000}"/>
    <cellStyle name="쉼표 [0] 4 2 21 2 2 2" xfId="2248" xr:uid="{00000000-0005-0000-0000-0000E0080000}"/>
    <cellStyle name="쉼표 [0] 4 2 21 3" xfId="2249" xr:uid="{00000000-0005-0000-0000-0000E1080000}"/>
    <cellStyle name="쉼표 [0] 4 2 21 4" xfId="2250" xr:uid="{00000000-0005-0000-0000-0000E2080000}"/>
    <cellStyle name="쉼표 [0] 4 2 21 5" xfId="2251" xr:uid="{00000000-0005-0000-0000-0000E3080000}"/>
    <cellStyle name="쉼표 [0] 4 2 21 6" xfId="2252" xr:uid="{00000000-0005-0000-0000-0000E4080000}"/>
    <cellStyle name="쉼표 [0] 4 2 22" xfId="2253" xr:uid="{00000000-0005-0000-0000-0000E5080000}"/>
    <cellStyle name="쉼표 [0] 4 2 22 2" xfId="2254" xr:uid="{00000000-0005-0000-0000-0000E6080000}"/>
    <cellStyle name="쉼표 [0] 4 2 22 2 2" xfId="2255" xr:uid="{00000000-0005-0000-0000-0000E7080000}"/>
    <cellStyle name="쉼표 [0] 4 2 22 2 2 2" xfId="2256" xr:uid="{00000000-0005-0000-0000-0000E8080000}"/>
    <cellStyle name="쉼표 [0] 4 2 22 3" xfId="2257" xr:uid="{00000000-0005-0000-0000-0000E9080000}"/>
    <cellStyle name="쉼표 [0] 4 2 22 4" xfId="2258" xr:uid="{00000000-0005-0000-0000-0000EA080000}"/>
    <cellStyle name="쉼표 [0] 4 2 22 5" xfId="2259" xr:uid="{00000000-0005-0000-0000-0000EB080000}"/>
    <cellStyle name="쉼표 [0] 4 2 22 6" xfId="2260" xr:uid="{00000000-0005-0000-0000-0000EC080000}"/>
    <cellStyle name="쉼표 [0] 4 2 23" xfId="2261" xr:uid="{00000000-0005-0000-0000-0000ED080000}"/>
    <cellStyle name="쉼표 [0] 4 2 23 2" xfId="2262" xr:uid="{00000000-0005-0000-0000-0000EE080000}"/>
    <cellStyle name="쉼표 [0] 4 2 23 2 2" xfId="2263" xr:uid="{00000000-0005-0000-0000-0000EF080000}"/>
    <cellStyle name="쉼표 [0] 4 2 23 2 2 2" xfId="2264" xr:uid="{00000000-0005-0000-0000-0000F0080000}"/>
    <cellStyle name="쉼표 [0] 4 2 23 3" xfId="2265" xr:uid="{00000000-0005-0000-0000-0000F1080000}"/>
    <cellStyle name="쉼표 [0] 4 2 23 4" xfId="2266" xr:uid="{00000000-0005-0000-0000-0000F2080000}"/>
    <cellStyle name="쉼표 [0] 4 2 23 5" xfId="2267" xr:uid="{00000000-0005-0000-0000-0000F3080000}"/>
    <cellStyle name="쉼표 [0] 4 2 23 6" xfId="2268" xr:uid="{00000000-0005-0000-0000-0000F4080000}"/>
    <cellStyle name="쉼표 [0] 4 2 24" xfId="2269" xr:uid="{00000000-0005-0000-0000-0000F5080000}"/>
    <cellStyle name="쉼표 [0] 4 2 24 2" xfId="2270" xr:uid="{00000000-0005-0000-0000-0000F6080000}"/>
    <cellStyle name="쉼표 [0] 4 2 24 2 2" xfId="2271" xr:uid="{00000000-0005-0000-0000-0000F7080000}"/>
    <cellStyle name="쉼표 [0] 4 2 24 2 2 2" xfId="2272" xr:uid="{00000000-0005-0000-0000-0000F8080000}"/>
    <cellStyle name="쉼표 [0] 4 2 24 3" xfId="2273" xr:uid="{00000000-0005-0000-0000-0000F9080000}"/>
    <cellStyle name="쉼표 [0] 4 2 24 4" xfId="2274" xr:uid="{00000000-0005-0000-0000-0000FA080000}"/>
    <cellStyle name="쉼표 [0] 4 2 24 5" xfId="2275" xr:uid="{00000000-0005-0000-0000-0000FB080000}"/>
    <cellStyle name="쉼표 [0] 4 2 24 6" xfId="2276" xr:uid="{00000000-0005-0000-0000-0000FC080000}"/>
    <cellStyle name="쉼표 [0] 4 2 25" xfId="2277" xr:uid="{00000000-0005-0000-0000-0000FD080000}"/>
    <cellStyle name="쉼표 [0] 4 2 25 2" xfId="2278" xr:uid="{00000000-0005-0000-0000-0000FE080000}"/>
    <cellStyle name="쉼표 [0] 4 2 25 2 2" xfId="2279" xr:uid="{00000000-0005-0000-0000-0000FF080000}"/>
    <cellStyle name="쉼표 [0] 4 2 25 2 2 2" xfId="2280" xr:uid="{00000000-0005-0000-0000-000000090000}"/>
    <cellStyle name="쉼표 [0] 4 2 25 3" xfId="2281" xr:uid="{00000000-0005-0000-0000-000001090000}"/>
    <cellStyle name="쉼표 [0] 4 2 25 4" xfId="2282" xr:uid="{00000000-0005-0000-0000-000002090000}"/>
    <cellStyle name="쉼표 [0] 4 2 25 5" xfId="2283" xr:uid="{00000000-0005-0000-0000-000003090000}"/>
    <cellStyle name="쉼표 [0] 4 2 25 6" xfId="2284" xr:uid="{00000000-0005-0000-0000-000004090000}"/>
    <cellStyle name="쉼표 [0] 4 2 26" xfId="2285" xr:uid="{00000000-0005-0000-0000-000005090000}"/>
    <cellStyle name="쉼표 [0] 4 2 26 2" xfId="2286" xr:uid="{00000000-0005-0000-0000-000006090000}"/>
    <cellStyle name="쉼표 [0] 4 2 26 2 2" xfId="2287" xr:uid="{00000000-0005-0000-0000-000007090000}"/>
    <cellStyle name="쉼표 [0] 4 2 26 2 2 2" xfId="2288" xr:uid="{00000000-0005-0000-0000-000008090000}"/>
    <cellStyle name="쉼표 [0] 4 2 26 3" xfId="2289" xr:uid="{00000000-0005-0000-0000-000009090000}"/>
    <cellStyle name="쉼표 [0] 4 2 26 4" xfId="2290" xr:uid="{00000000-0005-0000-0000-00000A090000}"/>
    <cellStyle name="쉼표 [0] 4 2 26 5" xfId="2291" xr:uid="{00000000-0005-0000-0000-00000B090000}"/>
    <cellStyle name="쉼표 [0] 4 2 26 6" xfId="2292" xr:uid="{00000000-0005-0000-0000-00000C090000}"/>
    <cellStyle name="쉼표 [0] 4 2 27" xfId="2293" xr:uid="{00000000-0005-0000-0000-00000D090000}"/>
    <cellStyle name="쉼표 [0] 4 2 27 2" xfId="2294" xr:uid="{00000000-0005-0000-0000-00000E090000}"/>
    <cellStyle name="쉼표 [0] 4 2 27 2 2" xfId="2295" xr:uid="{00000000-0005-0000-0000-00000F090000}"/>
    <cellStyle name="쉼표 [0] 4 2 27 2 2 2" xfId="2296" xr:uid="{00000000-0005-0000-0000-000010090000}"/>
    <cellStyle name="쉼표 [0] 4 2 27 3" xfId="2297" xr:uid="{00000000-0005-0000-0000-000011090000}"/>
    <cellStyle name="쉼표 [0] 4 2 27 4" xfId="2298" xr:uid="{00000000-0005-0000-0000-000012090000}"/>
    <cellStyle name="쉼표 [0] 4 2 27 5" xfId="2299" xr:uid="{00000000-0005-0000-0000-000013090000}"/>
    <cellStyle name="쉼표 [0] 4 2 27 6" xfId="2300" xr:uid="{00000000-0005-0000-0000-000014090000}"/>
    <cellStyle name="쉼표 [0] 4 2 28" xfId="2301" xr:uid="{00000000-0005-0000-0000-000015090000}"/>
    <cellStyle name="쉼표 [0] 4 2 28 2" xfId="2302" xr:uid="{00000000-0005-0000-0000-000016090000}"/>
    <cellStyle name="쉼표 [0] 4 2 28 2 2" xfId="2303" xr:uid="{00000000-0005-0000-0000-000017090000}"/>
    <cellStyle name="쉼표 [0] 4 2 28 2 2 2" xfId="2304" xr:uid="{00000000-0005-0000-0000-000018090000}"/>
    <cellStyle name="쉼표 [0] 4 2 28 3" xfId="2305" xr:uid="{00000000-0005-0000-0000-000019090000}"/>
    <cellStyle name="쉼표 [0] 4 2 28 4" xfId="2306" xr:uid="{00000000-0005-0000-0000-00001A090000}"/>
    <cellStyle name="쉼표 [0] 4 2 28 5" xfId="2307" xr:uid="{00000000-0005-0000-0000-00001B090000}"/>
    <cellStyle name="쉼표 [0] 4 2 28 6" xfId="2308" xr:uid="{00000000-0005-0000-0000-00001C090000}"/>
    <cellStyle name="쉼표 [0] 4 2 29" xfId="2309" xr:uid="{00000000-0005-0000-0000-00001D090000}"/>
    <cellStyle name="쉼표 [0] 4 2 29 2" xfId="2310" xr:uid="{00000000-0005-0000-0000-00001E090000}"/>
    <cellStyle name="쉼표 [0] 4 2 29 2 2" xfId="2311" xr:uid="{00000000-0005-0000-0000-00001F090000}"/>
    <cellStyle name="쉼표 [0] 4 2 29 2 2 2" xfId="2312" xr:uid="{00000000-0005-0000-0000-000020090000}"/>
    <cellStyle name="쉼표 [0] 4 2 29 3" xfId="2313" xr:uid="{00000000-0005-0000-0000-000021090000}"/>
    <cellStyle name="쉼표 [0] 4 2 29 4" xfId="2314" xr:uid="{00000000-0005-0000-0000-000022090000}"/>
    <cellStyle name="쉼표 [0] 4 2 29 5" xfId="2315" xr:uid="{00000000-0005-0000-0000-000023090000}"/>
    <cellStyle name="쉼표 [0] 4 2 29 6" xfId="2316" xr:uid="{00000000-0005-0000-0000-000024090000}"/>
    <cellStyle name="쉼표 [0] 4 2 3" xfId="2317" xr:uid="{00000000-0005-0000-0000-000025090000}"/>
    <cellStyle name="쉼표 [0] 4 2 3 2" xfId="2318" xr:uid="{00000000-0005-0000-0000-000026090000}"/>
    <cellStyle name="쉼표 [0] 4 2 3 2 2" xfId="2319" xr:uid="{00000000-0005-0000-0000-000027090000}"/>
    <cellStyle name="쉼표 [0] 4 2 3 2 2 2" xfId="2320" xr:uid="{00000000-0005-0000-0000-000028090000}"/>
    <cellStyle name="쉼표 [0] 4 2 3 3" xfId="2321" xr:uid="{00000000-0005-0000-0000-000029090000}"/>
    <cellStyle name="쉼표 [0] 4 2 3 4" xfId="2322" xr:uid="{00000000-0005-0000-0000-00002A090000}"/>
    <cellStyle name="쉼표 [0] 4 2 3 5" xfId="2323" xr:uid="{00000000-0005-0000-0000-00002B090000}"/>
    <cellStyle name="쉼표 [0] 4 2 3 6" xfId="2324" xr:uid="{00000000-0005-0000-0000-00002C090000}"/>
    <cellStyle name="쉼표 [0] 4 2 30" xfId="2325" xr:uid="{00000000-0005-0000-0000-00002D090000}"/>
    <cellStyle name="쉼표 [0] 4 2 30 2" xfId="2326" xr:uid="{00000000-0005-0000-0000-00002E090000}"/>
    <cellStyle name="쉼표 [0] 4 2 30 2 2" xfId="2327" xr:uid="{00000000-0005-0000-0000-00002F090000}"/>
    <cellStyle name="쉼표 [0] 4 2 30 2 2 2" xfId="2328" xr:uid="{00000000-0005-0000-0000-000030090000}"/>
    <cellStyle name="쉼표 [0] 4 2 30 3" xfId="2329" xr:uid="{00000000-0005-0000-0000-000031090000}"/>
    <cellStyle name="쉼표 [0] 4 2 30 4" xfId="2330" xr:uid="{00000000-0005-0000-0000-000032090000}"/>
    <cellStyle name="쉼표 [0] 4 2 30 5" xfId="2331" xr:uid="{00000000-0005-0000-0000-000033090000}"/>
    <cellStyle name="쉼표 [0] 4 2 30 6" xfId="2332" xr:uid="{00000000-0005-0000-0000-000034090000}"/>
    <cellStyle name="쉼표 [0] 4 2 31" xfId="2333" xr:uid="{00000000-0005-0000-0000-000035090000}"/>
    <cellStyle name="쉼표 [0] 4 2 31 2" xfId="2334" xr:uid="{00000000-0005-0000-0000-000036090000}"/>
    <cellStyle name="쉼표 [0] 4 2 31 2 2" xfId="2335" xr:uid="{00000000-0005-0000-0000-000037090000}"/>
    <cellStyle name="쉼표 [0] 4 2 31 2 2 2" xfId="2336" xr:uid="{00000000-0005-0000-0000-000038090000}"/>
    <cellStyle name="쉼표 [0] 4 2 31 3" xfId="2337" xr:uid="{00000000-0005-0000-0000-000039090000}"/>
    <cellStyle name="쉼표 [0] 4 2 31 4" xfId="2338" xr:uid="{00000000-0005-0000-0000-00003A090000}"/>
    <cellStyle name="쉼표 [0] 4 2 31 5" xfId="2339" xr:uid="{00000000-0005-0000-0000-00003B090000}"/>
    <cellStyle name="쉼표 [0] 4 2 31 6" xfId="2340" xr:uid="{00000000-0005-0000-0000-00003C090000}"/>
    <cellStyle name="쉼표 [0] 4 2 32" xfId="2341" xr:uid="{00000000-0005-0000-0000-00003D090000}"/>
    <cellStyle name="쉼표 [0] 4 2 32 2" xfId="2342" xr:uid="{00000000-0005-0000-0000-00003E090000}"/>
    <cellStyle name="쉼표 [0] 4 2 32 2 2" xfId="2343" xr:uid="{00000000-0005-0000-0000-00003F090000}"/>
    <cellStyle name="쉼표 [0] 4 2 32 2 2 2" xfId="2344" xr:uid="{00000000-0005-0000-0000-000040090000}"/>
    <cellStyle name="쉼표 [0] 4 2 32 3" xfId="2345" xr:uid="{00000000-0005-0000-0000-000041090000}"/>
    <cellStyle name="쉼표 [0] 4 2 32 4" xfId="2346" xr:uid="{00000000-0005-0000-0000-000042090000}"/>
    <cellStyle name="쉼표 [0] 4 2 32 5" xfId="2347" xr:uid="{00000000-0005-0000-0000-000043090000}"/>
    <cellStyle name="쉼표 [0] 4 2 32 6" xfId="2348" xr:uid="{00000000-0005-0000-0000-000044090000}"/>
    <cellStyle name="쉼표 [0] 4 2 33" xfId="2349" xr:uid="{00000000-0005-0000-0000-000045090000}"/>
    <cellStyle name="쉼표 [0] 4 2 33 2" xfId="2350" xr:uid="{00000000-0005-0000-0000-000046090000}"/>
    <cellStyle name="쉼표 [0] 4 2 33 2 2" xfId="2351" xr:uid="{00000000-0005-0000-0000-000047090000}"/>
    <cellStyle name="쉼표 [0] 4 2 33 2 2 2" xfId="2352" xr:uid="{00000000-0005-0000-0000-000048090000}"/>
    <cellStyle name="쉼표 [0] 4 2 33 3" xfId="2353" xr:uid="{00000000-0005-0000-0000-000049090000}"/>
    <cellStyle name="쉼표 [0] 4 2 33 4" xfId="2354" xr:uid="{00000000-0005-0000-0000-00004A090000}"/>
    <cellStyle name="쉼표 [0] 4 2 33 5" xfId="2355" xr:uid="{00000000-0005-0000-0000-00004B090000}"/>
    <cellStyle name="쉼표 [0] 4 2 33 6" xfId="2356" xr:uid="{00000000-0005-0000-0000-00004C090000}"/>
    <cellStyle name="쉼표 [0] 4 2 34" xfId="2357" xr:uid="{00000000-0005-0000-0000-00004D090000}"/>
    <cellStyle name="쉼표 [0] 4 2 34 2" xfId="2358" xr:uid="{00000000-0005-0000-0000-00004E090000}"/>
    <cellStyle name="쉼표 [0] 4 2 34 2 2" xfId="2359" xr:uid="{00000000-0005-0000-0000-00004F090000}"/>
    <cellStyle name="쉼표 [0] 4 2 34 2 2 2" xfId="2360" xr:uid="{00000000-0005-0000-0000-000050090000}"/>
    <cellStyle name="쉼표 [0] 4 2 34 3" xfId="2361" xr:uid="{00000000-0005-0000-0000-000051090000}"/>
    <cellStyle name="쉼표 [0] 4 2 34 4" xfId="2362" xr:uid="{00000000-0005-0000-0000-000052090000}"/>
    <cellStyle name="쉼표 [0] 4 2 34 5" xfId="2363" xr:uid="{00000000-0005-0000-0000-000053090000}"/>
    <cellStyle name="쉼표 [0] 4 2 34 6" xfId="2364" xr:uid="{00000000-0005-0000-0000-000054090000}"/>
    <cellStyle name="쉼표 [0] 4 2 35" xfId="2365" xr:uid="{00000000-0005-0000-0000-000055090000}"/>
    <cellStyle name="쉼표 [0] 4 2 35 2" xfId="2366" xr:uid="{00000000-0005-0000-0000-000056090000}"/>
    <cellStyle name="쉼표 [0] 4 2 35 2 2" xfId="2367" xr:uid="{00000000-0005-0000-0000-000057090000}"/>
    <cellStyle name="쉼표 [0] 4 2 35 2 2 2" xfId="2368" xr:uid="{00000000-0005-0000-0000-000058090000}"/>
    <cellStyle name="쉼표 [0] 4 2 35 3" xfId="2369" xr:uid="{00000000-0005-0000-0000-000059090000}"/>
    <cellStyle name="쉼표 [0] 4 2 35 4" xfId="2370" xr:uid="{00000000-0005-0000-0000-00005A090000}"/>
    <cellStyle name="쉼표 [0] 4 2 35 5" xfId="2371" xr:uid="{00000000-0005-0000-0000-00005B090000}"/>
    <cellStyle name="쉼표 [0] 4 2 35 6" xfId="2372" xr:uid="{00000000-0005-0000-0000-00005C090000}"/>
    <cellStyle name="쉼표 [0] 4 2 36" xfId="2373" xr:uid="{00000000-0005-0000-0000-00005D090000}"/>
    <cellStyle name="쉼표 [0] 4 2 36 2" xfId="2374" xr:uid="{00000000-0005-0000-0000-00005E090000}"/>
    <cellStyle name="쉼표 [0] 4 2 36 3" xfId="2375" xr:uid="{00000000-0005-0000-0000-00005F090000}"/>
    <cellStyle name="쉼표 [0] 4 2 36 4" xfId="2376" xr:uid="{00000000-0005-0000-0000-000060090000}"/>
    <cellStyle name="쉼표 [0] 4 2 36 5" xfId="2377" xr:uid="{00000000-0005-0000-0000-000061090000}"/>
    <cellStyle name="쉼표 [0] 4 2 36 5 2" xfId="2378" xr:uid="{00000000-0005-0000-0000-000062090000}"/>
    <cellStyle name="쉼표 [0] 4 2 36 6" xfId="2379" xr:uid="{00000000-0005-0000-0000-000063090000}"/>
    <cellStyle name="쉼표 [0] 4 2 37" xfId="2380" xr:uid="{00000000-0005-0000-0000-000064090000}"/>
    <cellStyle name="쉼표 [0] 4 2 37 2" xfId="2381" xr:uid="{00000000-0005-0000-0000-000065090000}"/>
    <cellStyle name="쉼표 [0] 4 2 37 3" xfId="2382" xr:uid="{00000000-0005-0000-0000-000066090000}"/>
    <cellStyle name="쉼표 [0] 4 2 37 4" xfId="2383" xr:uid="{00000000-0005-0000-0000-000067090000}"/>
    <cellStyle name="쉼표 [0] 4 2 37 5" xfId="2384" xr:uid="{00000000-0005-0000-0000-000068090000}"/>
    <cellStyle name="쉼표 [0] 4 2 38" xfId="2385" xr:uid="{00000000-0005-0000-0000-000069090000}"/>
    <cellStyle name="쉼표 [0] 4 2 38 2" xfId="2386" xr:uid="{00000000-0005-0000-0000-00006A090000}"/>
    <cellStyle name="쉼표 [0] 4 2 38 3" xfId="2387" xr:uid="{00000000-0005-0000-0000-00006B090000}"/>
    <cellStyle name="쉼표 [0] 4 2 38 4" xfId="2388" xr:uid="{00000000-0005-0000-0000-00006C090000}"/>
    <cellStyle name="쉼표 [0] 4 2 38 5" xfId="2389" xr:uid="{00000000-0005-0000-0000-00006D090000}"/>
    <cellStyle name="쉼표 [0] 4 2 39" xfId="2390" xr:uid="{00000000-0005-0000-0000-00006E090000}"/>
    <cellStyle name="쉼표 [0] 4 2 39 2" xfId="2391" xr:uid="{00000000-0005-0000-0000-00006F090000}"/>
    <cellStyle name="쉼표 [0] 4 2 4" xfId="2392" xr:uid="{00000000-0005-0000-0000-000070090000}"/>
    <cellStyle name="쉼표 [0] 4 2 4 2" xfId="2393" xr:uid="{00000000-0005-0000-0000-000071090000}"/>
    <cellStyle name="쉼표 [0] 4 2 4 2 2" xfId="2394" xr:uid="{00000000-0005-0000-0000-000072090000}"/>
    <cellStyle name="쉼표 [0] 4 2 4 2 2 2" xfId="2395" xr:uid="{00000000-0005-0000-0000-000073090000}"/>
    <cellStyle name="쉼표 [0] 4 2 4 3" xfId="2396" xr:uid="{00000000-0005-0000-0000-000074090000}"/>
    <cellStyle name="쉼표 [0] 4 2 4 4" xfId="2397" xr:uid="{00000000-0005-0000-0000-000075090000}"/>
    <cellStyle name="쉼표 [0] 4 2 4 5" xfId="2398" xr:uid="{00000000-0005-0000-0000-000076090000}"/>
    <cellStyle name="쉼표 [0] 4 2 4 6" xfId="2399" xr:uid="{00000000-0005-0000-0000-000077090000}"/>
    <cellStyle name="쉼표 [0] 4 2 40" xfId="2400" xr:uid="{00000000-0005-0000-0000-000078090000}"/>
    <cellStyle name="쉼표 [0] 4 2 5" xfId="2401" xr:uid="{00000000-0005-0000-0000-000079090000}"/>
    <cellStyle name="쉼표 [0] 4 2 5 2" xfId="2402" xr:uid="{00000000-0005-0000-0000-00007A090000}"/>
    <cellStyle name="쉼표 [0] 4 2 5 2 2" xfId="2403" xr:uid="{00000000-0005-0000-0000-00007B090000}"/>
    <cellStyle name="쉼표 [0] 4 2 5 2 2 2" xfId="2404" xr:uid="{00000000-0005-0000-0000-00007C090000}"/>
    <cellStyle name="쉼표 [0] 4 2 5 3" xfId="2405" xr:uid="{00000000-0005-0000-0000-00007D090000}"/>
    <cellStyle name="쉼표 [0] 4 2 5 4" xfId="2406" xr:uid="{00000000-0005-0000-0000-00007E090000}"/>
    <cellStyle name="쉼표 [0] 4 2 5 5" xfId="2407" xr:uid="{00000000-0005-0000-0000-00007F090000}"/>
    <cellStyle name="쉼표 [0] 4 2 5 6" xfId="2408" xr:uid="{00000000-0005-0000-0000-000080090000}"/>
    <cellStyle name="쉼표 [0] 4 2 6" xfId="2409" xr:uid="{00000000-0005-0000-0000-000081090000}"/>
    <cellStyle name="쉼표 [0] 4 2 6 2" xfId="2410" xr:uid="{00000000-0005-0000-0000-000082090000}"/>
    <cellStyle name="쉼표 [0] 4 2 6 2 2" xfId="2411" xr:uid="{00000000-0005-0000-0000-000083090000}"/>
    <cellStyle name="쉼표 [0] 4 2 6 2 2 2" xfId="2412" xr:uid="{00000000-0005-0000-0000-000084090000}"/>
    <cellStyle name="쉼표 [0] 4 2 6 3" xfId="2413" xr:uid="{00000000-0005-0000-0000-000085090000}"/>
    <cellStyle name="쉼표 [0] 4 2 6 4" xfId="2414" xr:uid="{00000000-0005-0000-0000-000086090000}"/>
    <cellStyle name="쉼표 [0] 4 2 6 5" xfId="2415" xr:uid="{00000000-0005-0000-0000-000087090000}"/>
    <cellStyle name="쉼표 [0] 4 2 6 6" xfId="2416" xr:uid="{00000000-0005-0000-0000-000088090000}"/>
    <cellStyle name="쉼표 [0] 4 2 7" xfId="2417" xr:uid="{00000000-0005-0000-0000-000089090000}"/>
    <cellStyle name="쉼표 [0] 4 2 7 2" xfId="2418" xr:uid="{00000000-0005-0000-0000-00008A090000}"/>
    <cellStyle name="쉼표 [0] 4 2 7 2 2" xfId="2419" xr:uid="{00000000-0005-0000-0000-00008B090000}"/>
    <cellStyle name="쉼표 [0] 4 2 7 2 2 2" xfId="2420" xr:uid="{00000000-0005-0000-0000-00008C090000}"/>
    <cellStyle name="쉼표 [0] 4 2 7 3" xfId="2421" xr:uid="{00000000-0005-0000-0000-00008D090000}"/>
    <cellStyle name="쉼표 [0] 4 2 7 4" xfId="2422" xr:uid="{00000000-0005-0000-0000-00008E090000}"/>
    <cellStyle name="쉼표 [0] 4 2 7 5" xfId="2423" xr:uid="{00000000-0005-0000-0000-00008F090000}"/>
    <cellStyle name="쉼표 [0] 4 2 7 6" xfId="2424" xr:uid="{00000000-0005-0000-0000-000090090000}"/>
    <cellStyle name="쉼표 [0] 4 2 8" xfId="2425" xr:uid="{00000000-0005-0000-0000-000091090000}"/>
    <cellStyle name="쉼표 [0] 4 2 8 2" xfId="2426" xr:uid="{00000000-0005-0000-0000-000092090000}"/>
    <cellStyle name="쉼표 [0] 4 2 8 2 2" xfId="2427" xr:uid="{00000000-0005-0000-0000-000093090000}"/>
    <cellStyle name="쉼표 [0] 4 2 8 2 2 2" xfId="2428" xr:uid="{00000000-0005-0000-0000-000094090000}"/>
    <cellStyle name="쉼표 [0] 4 2 8 3" xfId="2429" xr:uid="{00000000-0005-0000-0000-000095090000}"/>
    <cellStyle name="쉼표 [0] 4 2 8 4" xfId="2430" xr:uid="{00000000-0005-0000-0000-000096090000}"/>
    <cellStyle name="쉼표 [0] 4 2 8 5" xfId="2431" xr:uid="{00000000-0005-0000-0000-000097090000}"/>
    <cellStyle name="쉼표 [0] 4 2 8 6" xfId="2432" xr:uid="{00000000-0005-0000-0000-000098090000}"/>
    <cellStyle name="쉼표 [0] 4 2 9" xfId="2433" xr:uid="{00000000-0005-0000-0000-000099090000}"/>
    <cellStyle name="쉼표 [0] 4 2 9 2" xfId="2434" xr:uid="{00000000-0005-0000-0000-00009A090000}"/>
    <cellStyle name="쉼표 [0] 4 2 9 2 2" xfId="2435" xr:uid="{00000000-0005-0000-0000-00009B090000}"/>
    <cellStyle name="쉼표 [0] 4 2 9 2 2 2" xfId="2436" xr:uid="{00000000-0005-0000-0000-00009C090000}"/>
    <cellStyle name="쉼표 [0] 4 2 9 3" xfId="2437" xr:uid="{00000000-0005-0000-0000-00009D090000}"/>
    <cellStyle name="쉼표 [0] 4 2 9 4" xfId="2438" xr:uid="{00000000-0005-0000-0000-00009E090000}"/>
    <cellStyle name="쉼표 [0] 4 2 9 5" xfId="2439" xr:uid="{00000000-0005-0000-0000-00009F090000}"/>
    <cellStyle name="쉼표 [0] 4 2 9 6" xfId="2440" xr:uid="{00000000-0005-0000-0000-0000A0090000}"/>
    <cellStyle name="쉼표 [0] 4 20" xfId="2441" xr:uid="{00000000-0005-0000-0000-0000A1090000}"/>
    <cellStyle name="쉼표 [0] 4 21" xfId="2442" xr:uid="{00000000-0005-0000-0000-0000A2090000}"/>
    <cellStyle name="쉼표 [0] 4 22" xfId="2443" xr:uid="{00000000-0005-0000-0000-0000A3090000}"/>
    <cellStyle name="쉼표 [0] 4 23" xfId="2444" xr:uid="{00000000-0005-0000-0000-0000A4090000}"/>
    <cellStyle name="쉼표 [0] 4 24" xfId="2445" xr:uid="{00000000-0005-0000-0000-0000A5090000}"/>
    <cellStyle name="쉼표 [0] 4 25" xfId="2446" xr:uid="{00000000-0005-0000-0000-0000A6090000}"/>
    <cellStyle name="쉼표 [0] 4 26" xfId="2447" xr:uid="{00000000-0005-0000-0000-0000A7090000}"/>
    <cellStyle name="쉼표 [0] 4 27" xfId="2448" xr:uid="{00000000-0005-0000-0000-0000A8090000}"/>
    <cellStyle name="쉼표 [0] 4 28" xfId="2449" xr:uid="{00000000-0005-0000-0000-0000A9090000}"/>
    <cellStyle name="쉼표 [0] 4 29" xfId="2450" xr:uid="{00000000-0005-0000-0000-0000AA090000}"/>
    <cellStyle name="쉼표 [0] 4 3" xfId="2451" xr:uid="{00000000-0005-0000-0000-0000AB090000}"/>
    <cellStyle name="쉼표 [0] 4 3 2" xfId="2452" xr:uid="{00000000-0005-0000-0000-0000AC090000}"/>
    <cellStyle name="쉼표 [0] 4 3 2 2" xfId="2453" xr:uid="{00000000-0005-0000-0000-0000AD090000}"/>
    <cellStyle name="쉼표 [0] 4 3 2 2 2" xfId="2454" xr:uid="{00000000-0005-0000-0000-0000AE090000}"/>
    <cellStyle name="쉼표 [0] 4 3 2 3" xfId="2455" xr:uid="{00000000-0005-0000-0000-0000AF090000}"/>
    <cellStyle name="쉼표 [0] 4 3 3" xfId="2456" xr:uid="{00000000-0005-0000-0000-0000B0090000}"/>
    <cellStyle name="쉼표 [0] 4 3 4" xfId="2457" xr:uid="{00000000-0005-0000-0000-0000B1090000}"/>
    <cellStyle name="쉼표 [0] 4 3 5" xfId="2458" xr:uid="{00000000-0005-0000-0000-0000B2090000}"/>
    <cellStyle name="쉼표 [0] 4 3 6" xfId="2459" xr:uid="{00000000-0005-0000-0000-0000B3090000}"/>
    <cellStyle name="쉼표 [0] 4 3 7" xfId="2460" xr:uid="{00000000-0005-0000-0000-0000B4090000}"/>
    <cellStyle name="쉼표 [0] 4 30" xfId="2461" xr:uid="{00000000-0005-0000-0000-0000B5090000}"/>
    <cellStyle name="쉼표 [0] 4 31" xfId="2462" xr:uid="{00000000-0005-0000-0000-0000B6090000}"/>
    <cellStyle name="쉼표 [0] 4 32" xfId="2463" xr:uid="{00000000-0005-0000-0000-0000B7090000}"/>
    <cellStyle name="쉼표 [0] 4 33" xfId="2464" xr:uid="{00000000-0005-0000-0000-0000B8090000}"/>
    <cellStyle name="쉼표 [0] 4 34" xfId="2465" xr:uid="{00000000-0005-0000-0000-0000B9090000}"/>
    <cellStyle name="쉼표 [0] 4 35" xfId="2466" xr:uid="{00000000-0005-0000-0000-0000BA090000}"/>
    <cellStyle name="쉼표 [0] 4 36" xfId="2467" xr:uid="{00000000-0005-0000-0000-0000BB090000}"/>
    <cellStyle name="쉼표 [0] 4 37" xfId="2468" xr:uid="{00000000-0005-0000-0000-0000BC090000}"/>
    <cellStyle name="쉼표 [0] 4 38" xfId="2469" xr:uid="{00000000-0005-0000-0000-0000BD090000}"/>
    <cellStyle name="쉼표 [0] 4 39" xfId="2470" xr:uid="{00000000-0005-0000-0000-0000BE090000}"/>
    <cellStyle name="쉼표 [0] 4 4" xfId="2471" xr:uid="{00000000-0005-0000-0000-0000BF090000}"/>
    <cellStyle name="쉼표 [0] 4 4 2" xfId="2472" xr:uid="{00000000-0005-0000-0000-0000C0090000}"/>
    <cellStyle name="쉼표 [0] 4 4 2 2" xfId="2473" xr:uid="{00000000-0005-0000-0000-0000C1090000}"/>
    <cellStyle name="쉼표 [0] 4 4 2 2 2" xfId="2474" xr:uid="{00000000-0005-0000-0000-0000C2090000}"/>
    <cellStyle name="쉼표 [0] 4 4 2 3" xfId="2475" xr:uid="{00000000-0005-0000-0000-0000C3090000}"/>
    <cellStyle name="쉼표 [0] 4 4 3" xfId="2476" xr:uid="{00000000-0005-0000-0000-0000C4090000}"/>
    <cellStyle name="쉼표 [0] 4 4 4" xfId="2477" xr:uid="{00000000-0005-0000-0000-0000C5090000}"/>
    <cellStyle name="쉼표 [0] 4 4 5" xfId="2478" xr:uid="{00000000-0005-0000-0000-0000C6090000}"/>
    <cellStyle name="쉼표 [0] 4 4 6" xfId="2479" xr:uid="{00000000-0005-0000-0000-0000C7090000}"/>
    <cellStyle name="쉼표 [0] 4 4 7" xfId="2480" xr:uid="{00000000-0005-0000-0000-0000C8090000}"/>
    <cellStyle name="쉼표 [0] 4 40" xfId="2481" xr:uid="{00000000-0005-0000-0000-0000C9090000}"/>
    <cellStyle name="쉼표 [0] 4 41" xfId="2482" xr:uid="{00000000-0005-0000-0000-0000CA090000}"/>
    <cellStyle name="쉼표 [0] 4 42" xfId="2483" xr:uid="{00000000-0005-0000-0000-0000CB090000}"/>
    <cellStyle name="쉼표 [0] 4 43" xfId="2484" xr:uid="{00000000-0005-0000-0000-0000CC090000}"/>
    <cellStyle name="쉼표 [0] 4 44" xfId="2485" xr:uid="{00000000-0005-0000-0000-0000CD090000}"/>
    <cellStyle name="쉼표 [0] 4 45" xfId="2486" xr:uid="{00000000-0005-0000-0000-0000CE090000}"/>
    <cellStyle name="쉼표 [0] 4 46" xfId="2487" xr:uid="{00000000-0005-0000-0000-0000CF090000}"/>
    <cellStyle name="쉼표 [0] 4 47" xfId="2488" xr:uid="{00000000-0005-0000-0000-0000D0090000}"/>
    <cellStyle name="쉼표 [0] 4 48" xfId="2489" xr:uid="{00000000-0005-0000-0000-0000D1090000}"/>
    <cellStyle name="쉼표 [0] 4 49" xfId="2490" xr:uid="{00000000-0005-0000-0000-0000D2090000}"/>
    <cellStyle name="쉼표 [0] 4 5" xfId="2491" xr:uid="{00000000-0005-0000-0000-0000D3090000}"/>
    <cellStyle name="쉼표 [0] 4 5 2" xfId="2492" xr:uid="{00000000-0005-0000-0000-0000D4090000}"/>
    <cellStyle name="쉼표 [0] 4 5 2 2" xfId="2493" xr:uid="{00000000-0005-0000-0000-0000D5090000}"/>
    <cellStyle name="쉼표 [0] 4 5 2 2 2" xfId="2494" xr:uid="{00000000-0005-0000-0000-0000D6090000}"/>
    <cellStyle name="쉼표 [0] 4 5 2 3" xfId="2495" xr:uid="{00000000-0005-0000-0000-0000D7090000}"/>
    <cellStyle name="쉼표 [0] 4 5 3" xfId="2496" xr:uid="{00000000-0005-0000-0000-0000D8090000}"/>
    <cellStyle name="쉼표 [0] 4 5 4" xfId="2497" xr:uid="{00000000-0005-0000-0000-0000D9090000}"/>
    <cellStyle name="쉼표 [0] 4 5 5" xfId="2498" xr:uid="{00000000-0005-0000-0000-0000DA090000}"/>
    <cellStyle name="쉼표 [0] 4 5 6" xfId="2499" xr:uid="{00000000-0005-0000-0000-0000DB090000}"/>
    <cellStyle name="쉼표 [0] 4 5 7" xfId="2500" xr:uid="{00000000-0005-0000-0000-0000DC090000}"/>
    <cellStyle name="쉼표 [0] 4 50" xfId="2501" xr:uid="{00000000-0005-0000-0000-0000DD090000}"/>
    <cellStyle name="쉼표 [0] 4 6" xfId="2502" xr:uid="{00000000-0005-0000-0000-0000DE090000}"/>
    <cellStyle name="쉼표 [0] 4 6 2" xfId="2503" xr:uid="{00000000-0005-0000-0000-0000DF090000}"/>
    <cellStyle name="쉼표 [0] 4 6 2 2" xfId="2504" xr:uid="{00000000-0005-0000-0000-0000E0090000}"/>
    <cellStyle name="쉼표 [0] 4 6 2 2 2" xfId="2505" xr:uid="{00000000-0005-0000-0000-0000E1090000}"/>
    <cellStyle name="쉼표 [0] 4 6 2 3" xfId="2506" xr:uid="{00000000-0005-0000-0000-0000E2090000}"/>
    <cellStyle name="쉼표 [0] 4 6 3" xfId="2507" xr:uid="{00000000-0005-0000-0000-0000E3090000}"/>
    <cellStyle name="쉼표 [0] 4 6 4" xfId="2508" xr:uid="{00000000-0005-0000-0000-0000E4090000}"/>
    <cellStyle name="쉼표 [0] 4 6 5" xfId="2509" xr:uid="{00000000-0005-0000-0000-0000E5090000}"/>
    <cellStyle name="쉼표 [0] 4 6 6" xfId="2510" xr:uid="{00000000-0005-0000-0000-0000E6090000}"/>
    <cellStyle name="쉼표 [0] 4 6 7" xfId="2511" xr:uid="{00000000-0005-0000-0000-0000E7090000}"/>
    <cellStyle name="쉼표 [0] 4 7" xfId="2512" xr:uid="{00000000-0005-0000-0000-0000E8090000}"/>
    <cellStyle name="쉼표 [0] 4 7 2" xfId="2513" xr:uid="{00000000-0005-0000-0000-0000E9090000}"/>
    <cellStyle name="쉼표 [0] 4 7 2 2" xfId="2514" xr:uid="{00000000-0005-0000-0000-0000EA090000}"/>
    <cellStyle name="쉼표 [0] 4 7 2 3" xfId="2515" xr:uid="{00000000-0005-0000-0000-0000EB090000}"/>
    <cellStyle name="쉼표 [0] 4 7 2 4" xfId="2516" xr:uid="{00000000-0005-0000-0000-0000EC090000}"/>
    <cellStyle name="쉼표 [0] 4 7 2 5" xfId="2517" xr:uid="{00000000-0005-0000-0000-0000ED090000}"/>
    <cellStyle name="쉼표 [0] 4 7 2 6" xfId="2518" xr:uid="{00000000-0005-0000-0000-0000EE090000}"/>
    <cellStyle name="쉼표 [0] 4 7 2 7" xfId="2519" xr:uid="{00000000-0005-0000-0000-0000EF090000}"/>
    <cellStyle name="쉼표 [0] 4 7 2 8" xfId="2520" xr:uid="{00000000-0005-0000-0000-0000F0090000}"/>
    <cellStyle name="쉼표 [0] 4 7 2 9" xfId="2521" xr:uid="{00000000-0005-0000-0000-0000F1090000}"/>
    <cellStyle name="쉼표 [0] 4 7 3" xfId="2522" xr:uid="{00000000-0005-0000-0000-0000F2090000}"/>
    <cellStyle name="쉼표 [0] 4 7 3 2" xfId="2523" xr:uid="{00000000-0005-0000-0000-0000F3090000}"/>
    <cellStyle name="쉼표 [0] 4 7 3 3" xfId="2524" xr:uid="{00000000-0005-0000-0000-0000F4090000}"/>
    <cellStyle name="쉼표 [0] 4 7 3 4" xfId="2525" xr:uid="{00000000-0005-0000-0000-0000F5090000}"/>
    <cellStyle name="쉼표 [0] 4 7 3 5" xfId="2526" xr:uid="{00000000-0005-0000-0000-0000F6090000}"/>
    <cellStyle name="쉼표 [0] 4 7 3 5 2" xfId="2527" xr:uid="{00000000-0005-0000-0000-0000F7090000}"/>
    <cellStyle name="쉼표 [0] 4 7 3 6" xfId="2528" xr:uid="{00000000-0005-0000-0000-0000F8090000}"/>
    <cellStyle name="쉼표 [0] 4 7 4" xfId="2529" xr:uid="{00000000-0005-0000-0000-0000F9090000}"/>
    <cellStyle name="쉼표 [0] 4 7 4 2" xfId="2530" xr:uid="{00000000-0005-0000-0000-0000FA090000}"/>
    <cellStyle name="쉼표 [0] 4 7 4 3" xfId="2531" xr:uid="{00000000-0005-0000-0000-0000FB090000}"/>
    <cellStyle name="쉼표 [0] 4 7 4 4" xfId="2532" xr:uid="{00000000-0005-0000-0000-0000FC090000}"/>
    <cellStyle name="쉼표 [0] 4 7 4 5" xfId="2533" xr:uid="{00000000-0005-0000-0000-0000FD090000}"/>
    <cellStyle name="쉼표 [0] 4 7 5" xfId="2534" xr:uid="{00000000-0005-0000-0000-0000FE090000}"/>
    <cellStyle name="쉼표 [0] 4 8" xfId="2535" xr:uid="{00000000-0005-0000-0000-0000FF090000}"/>
    <cellStyle name="쉼표 [0] 4 9" xfId="2536" xr:uid="{00000000-0005-0000-0000-0000000A0000}"/>
    <cellStyle name="쉼표 [0] 40" xfId="3121" xr:uid="{00000000-0005-0000-0000-0000010A0000}"/>
    <cellStyle name="쉼표 [0] 41" xfId="3125" xr:uid="{00000000-0005-0000-0000-0000020A0000}"/>
    <cellStyle name="쉼표 [0] 42" xfId="3145" xr:uid="{00000000-0005-0000-0000-0000030A0000}"/>
    <cellStyle name="쉼표 [0] 43" xfId="3175" xr:uid="{00000000-0005-0000-0000-0000040A0000}"/>
    <cellStyle name="쉼표 [0] 44" xfId="3184" xr:uid="{00000000-0005-0000-0000-0000050A0000}"/>
    <cellStyle name="쉼표 [0] 45" xfId="3197" xr:uid="{00000000-0005-0000-0000-0000060A0000}"/>
    <cellStyle name="쉼표 [0] 46" xfId="3216" xr:uid="{00000000-0005-0000-0000-0000070A0000}"/>
    <cellStyle name="쉼표 [0] 46 2" xfId="3276" xr:uid="{00000000-0005-0000-0000-0000080A0000}"/>
    <cellStyle name="쉼표 [0] 46 2 2" xfId="3388" xr:uid="{00000000-0005-0000-0000-0000090A0000}"/>
    <cellStyle name="쉼표 [0] 46 2 2 2" xfId="3717" xr:uid="{00000000-0005-0000-0000-00000A0A0000}"/>
    <cellStyle name="쉼표 [0] 46 2 3" xfId="3497" xr:uid="{00000000-0005-0000-0000-00000B0A0000}"/>
    <cellStyle name="쉼표 [0] 46 2 3 2" xfId="3826" xr:uid="{00000000-0005-0000-0000-00000C0A0000}"/>
    <cellStyle name="쉼표 [0] 46 2 4" xfId="3609" xr:uid="{00000000-0005-0000-0000-00000D0A0000}"/>
    <cellStyle name="쉼표 [0] 46 3" xfId="3334" xr:uid="{00000000-0005-0000-0000-00000E0A0000}"/>
    <cellStyle name="쉼표 [0] 46 3 2" xfId="3663" xr:uid="{00000000-0005-0000-0000-00000F0A0000}"/>
    <cellStyle name="쉼표 [0] 46 4" xfId="3443" xr:uid="{00000000-0005-0000-0000-0000100A0000}"/>
    <cellStyle name="쉼표 [0] 46 4 2" xfId="3772" xr:uid="{00000000-0005-0000-0000-0000110A0000}"/>
    <cellStyle name="쉼표 [0] 46 5" xfId="3555" xr:uid="{00000000-0005-0000-0000-0000120A0000}"/>
    <cellStyle name="쉼표 [0] 47" xfId="3240" xr:uid="{00000000-0005-0000-0000-0000130A0000}"/>
    <cellStyle name="쉼표 [0] 48" xfId="3298" xr:uid="{00000000-0005-0000-0000-0000140A0000}"/>
    <cellStyle name="쉼표 [0] 49" xfId="3519" xr:uid="{00000000-0005-0000-0000-0000150A0000}"/>
    <cellStyle name="쉼표 [0] 5" xfId="2537" xr:uid="{00000000-0005-0000-0000-0000160A0000}"/>
    <cellStyle name="쉼표 [0] 5 10" xfId="2538" xr:uid="{00000000-0005-0000-0000-0000170A0000}"/>
    <cellStyle name="쉼표 [0] 5 11" xfId="2539" xr:uid="{00000000-0005-0000-0000-0000180A0000}"/>
    <cellStyle name="쉼표 [0] 5 12" xfId="2540" xr:uid="{00000000-0005-0000-0000-0000190A0000}"/>
    <cellStyle name="쉼표 [0] 5 13" xfId="2541" xr:uid="{00000000-0005-0000-0000-00001A0A0000}"/>
    <cellStyle name="쉼표 [0] 5 2" xfId="2542" xr:uid="{00000000-0005-0000-0000-00001B0A0000}"/>
    <cellStyle name="쉼표 [0] 5 2 2" xfId="2543" xr:uid="{00000000-0005-0000-0000-00001C0A0000}"/>
    <cellStyle name="쉼표 [0] 5 2 2 2" xfId="2544" xr:uid="{00000000-0005-0000-0000-00001D0A0000}"/>
    <cellStyle name="쉼표 [0] 5 2 2 2 2" xfId="2545" xr:uid="{00000000-0005-0000-0000-00001E0A0000}"/>
    <cellStyle name="쉼표 [0] 5 2 2 3" xfId="2546" xr:uid="{00000000-0005-0000-0000-00001F0A0000}"/>
    <cellStyle name="쉼표 [0] 5 2 3" xfId="2547" xr:uid="{00000000-0005-0000-0000-0000200A0000}"/>
    <cellStyle name="쉼표 [0] 5 2 4" xfId="2548" xr:uid="{00000000-0005-0000-0000-0000210A0000}"/>
    <cellStyle name="쉼표 [0] 5 2 5" xfId="2549" xr:uid="{00000000-0005-0000-0000-0000220A0000}"/>
    <cellStyle name="쉼표 [0] 5 2 6" xfId="2550" xr:uid="{00000000-0005-0000-0000-0000230A0000}"/>
    <cellStyle name="쉼표 [0] 5 2 7" xfId="2551" xr:uid="{00000000-0005-0000-0000-0000240A0000}"/>
    <cellStyle name="쉼표 [0] 5 3" xfId="2552" xr:uid="{00000000-0005-0000-0000-0000250A0000}"/>
    <cellStyle name="쉼표 [0] 5 4" xfId="2553" xr:uid="{00000000-0005-0000-0000-0000260A0000}"/>
    <cellStyle name="쉼표 [0] 5 5" xfId="2554" xr:uid="{00000000-0005-0000-0000-0000270A0000}"/>
    <cellStyle name="쉼표 [0] 5 6" xfId="2555" xr:uid="{00000000-0005-0000-0000-0000280A0000}"/>
    <cellStyle name="쉼표 [0] 5 7" xfId="2556" xr:uid="{00000000-0005-0000-0000-0000290A0000}"/>
    <cellStyle name="쉼표 [0] 5 8" xfId="2557" xr:uid="{00000000-0005-0000-0000-00002A0A0000}"/>
    <cellStyle name="쉼표 [0] 5 9" xfId="2558" xr:uid="{00000000-0005-0000-0000-00002B0A0000}"/>
    <cellStyle name="쉼표 [0] 50" xfId="1132" xr:uid="{00000000-0005-0000-0000-00002C0A0000}"/>
    <cellStyle name="쉼표 [0] 6" xfId="2559" xr:uid="{00000000-0005-0000-0000-00002D0A0000}"/>
    <cellStyle name="쉼표 [0] 6 10" xfId="2560" xr:uid="{00000000-0005-0000-0000-00002E0A0000}"/>
    <cellStyle name="쉼표 [0] 6 11" xfId="2561" xr:uid="{00000000-0005-0000-0000-00002F0A0000}"/>
    <cellStyle name="쉼표 [0] 6 12" xfId="2562" xr:uid="{00000000-0005-0000-0000-0000300A0000}"/>
    <cellStyle name="쉼표 [0] 6 13" xfId="2563" xr:uid="{00000000-0005-0000-0000-0000310A0000}"/>
    <cellStyle name="쉼표 [0] 6 14" xfId="2564" xr:uid="{00000000-0005-0000-0000-0000320A0000}"/>
    <cellStyle name="쉼표 [0] 6 2" xfId="2565" xr:uid="{00000000-0005-0000-0000-0000330A0000}"/>
    <cellStyle name="쉼표 [0] 6 2 2" xfId="2566" xr:uid="{00000000-0005-0000-0000-0000340A0000}"/>
    <cellStyle name="쉼표 [0] 6 2 2 2" xfId="2567" xr:uid="{00000000-0005-0000-0000-0000350A0000}"/>
    <cellStyle name="쉼표 [0] 6 2 2 2 2" xfId="2568" xr:uid="{00000000-0005-0000-0000-0000360A0000}"/>
    <cellStyle name="쉼표 [0] 6 2 2 3" xfId="2569" xr:uid="{00000000-0005-0000-0000-0000370A0000}"/>
    <cellStyle name="쉼표 [0] 6 2 3" xfId="2570" xr:uid="{00000000-0005-0000-0000-0000380A0000}"/>
    <cellStyle name="쉼표 [0] 6 2 4" xfId="2571" xr:uid="{00000000-0005-0000-0000-0000390A0000}"/>
    <cellStyle name="쉼표 [0] 6 2 5" xfId="2572" xr:uid="{00000000-0005-0000-0000-00003A0A0000}"/>
    <cellStyle name="쉼표 [0] 6 2 6" xfId="2573" xr:uid="{00000000-0005-0000-0000-00003B0A0000}"/>
    <cellStyle name="쉼표 [0] 6 2 7" xfId="2574" xr:uid="{00000000-0005-0000-0000-00003C0A0000}"/>
    <cellStyle name="쉼표 [0] 6 3" xfId="2575" xr:uid="{00000000-0005-0000-0000-00003D0A0000}"/>
    <cellStyle name="쉼표 [0] 6 3 2" xfId="2576" xr:uid="{00000000-0005-0000-0000-00003E0A0000}"/>
    <cellStyle name="쉼표 [0] 6 3 2 2" xfId="2577" xr:uid="{00000000-0005-0000-0000-00003F0A0000}"/>
    <cellStyle name="쉼표 [0] 6 3 2 2 2" xfId="2578" xr:uid="{00000000-0005-0000-0000-0000400A0000}"/>
    <cellStyle name="쉼표 [0] 6 3 2 3" xfId="2579" xr:uid="{00000000-0005-0000-0000-0000410A0000}"/>
    <cellStyle name="쉼표 [0] 6 3 3" xfId="2580" xr:uid="{00000000-0005-0000-0000-0000420A0000}"/>
    <cellStyle name="쉼표 [0] 6 3 4" xfId="2581" xr:uid="{00000000-0005-0000-0000-0000430A0000}"/>
    <cellStyle name="쉼표 [0] 6 3 5" xfId="2582" xr:uid="{00000000-0005-0000-0000-0000440A0000}"/>
    <cellStyle name="쉼표 [0] 6 3 6" xfId="2583" xr:uid="{00000000-0005-0000-0000-0000450A0000}"/>
    <cellStyle name="쉼표 [0] 6 3 7" xfId="2584" xr:uid="{00000000-0005-0000-0000-0000460A0000}"/>
    <cellStyle name="쉼표 [0] 6 4" xfId="2585" xr:uid="{00000000-0005-0000-0000-0000470A0000}"/>
    <cellStyle name="쉼표 [0] 6 5" xfId="2586" xr:uid="{00000000-0005-0000-0000-0000480A0000}"/>
    <cellStyle name="쉼표 [0] 6 6" xfId="2587" xr:uid="{00000000-0005-0000-0000-0000490A0000}"/>
    <cellStyle name="쉼표 [0] 6 7" xfId="2588" xr:uid="{00000000-0005-0000-0000-00004A0A0000}"/>
    <cellStyle name="쉼표 [0] 6 8" xfId="2589" xr:uid="{00000000-0005-0000-0000-00004B0A0000}"/>
    <cellStyle name="쉼표 [0] 6 9" xfId="2590" xr:uid="{00000000-0005-0000-0000-00004C0A0000}"/>
    <cellStyle name="쉼표 [0] 7" xfId="2591" xr:uid="{00000000-0005-0000-0000-00004D0A0000}"/>
    <cellStyle name="쉼표 [0] 7 10" xfId="2592" xr:uid="{00000000-0005-0000-0000-00004E0A0000}"/>
    <cellStyle name="쉼표 [0] 7 11" xfId="2593" xr:uid="{00000000-0005-0000-0000-00004F0A0000}"/>
    <cellStyle name="쉼표 [0] 7 12" xfId="2594" xr:uid="{00000000-0005-0000-0000-0000500A0000}"/>
    <cellStyle name="쉼표 [0] 7 2" xfId="2595" xr:uid="{00000000-0005-0000-0000-0000510A0000}"/>
    <cellStyle name="쉼표 [0] 7 3" xfId="2596" xr:uid="{00000000-0005-0000-0000-0000520A0000}"/>
    <cellStyle name="쉼표 [0] 7 4" xfId="2597" xr:uid="{00000000-0005-0000-0000-0000530A0000}"/>
    <cellStyle name="쉼표 [0] 7 5" xfId="2598" xr:uid="{00000000-0005-0000-0000-0000540A0000}"/>
    <cellStyle name="쉼표 [0] 7 6" xfId="2599" xr:uid="{00000000-0005-0000-0000-0000550A0000}"/>
    <cellStyle name="쉼표 [0] 7 7" xfId="2600" xr:uid="{00000000-0005-0000-0000-0000560A0000}"/>
    <cellStyle name="쉼표 [0] 7 8" xfId="2601" xr:uid="{00000000-0005-0000-0000-0000570A0000}"/>
    <cellStyle name="쉼표 [0] 7 9" xfId="2602" xr:uid="{00000000-0005-0000-0000-0000580A0000}"/>
    <cellStyle name="쉼표 [0] 8" xfId="2603" xr:uid="{00000000-0005-0000-0000-0000590A0000}"/>
    <cellStyle name="쉼표 [0] 8 10" xfId="2604" xr:uid="{00000000-0005-0000-0000-00005A0A0000}"/>
    <cellStyle name="쉼표 [0] 8 11" xfId="2605" xr:uid="{00000000-0005-0000-0000-00005B0A0000}"/>
    <cellStyle name="쉼표 [0] 8 12" xfId="2606" xr:uid="{00000000-0005-0000-0000-00005C0A0000}"/>
    <cellStyle name="쉼표 [0] 8 2" xfId="2607" xr:uid="{00000000-0005-0000-0000-00005D0A0000}"/>
    <cellStyle name="쉼표 [0] 8 3" xfId="2608" xr:uid="{00000000-0005-0000-0000-00005E0A0000}"/>
    <cellStyle name="쉼표 [0] 8 4" xfId="2609" xr:uid="{00000000-0005-0000-0000-00005F0A0000}"/>
    <cellStyle name="쉼표 [0] 8 5" xfId="2610" xr:uid="{00000000-0005-0000-0000-0000600A0000}"/>
    <cellStyle name="쉼표 [0] 8 6" xfId="2611" xr:uid="{00000000-0005-0000-0000-0000610A0000}"/>
    <cellStyle name="쉼표 [0] 8 7" xfId="2612" xr:uid="{00000000-0005-0000-0000-0000620A0000}"/>
    <cellStyle name="쉼표 [0] 8 8" xfId="2613" xr:uid="{00000000-0005-0000-0000-0000630A0000}"/>
    <cellStyle name="쉼표 [0] 8 9" xfId="2614" xr:uid="{00000000-0005-0000-0000-0000640A0000}"/>
    <cellStyle name="쉼표 [0] 9" xfId="2615" xr:uid="{00000000-0005-0000-0000-0000650A0000}"/>
    <cellStyle name="쉼표 [0] 9 10" xfId="2616" xr:uid="{00000000-0005-0000-0000-0000660A0000}"/>
    <cellStyle name="쉼표 [0] 9 11" xfId="2617" xr:uid="{00000000-0005-0000-0000-0000670A0000}"/>
    <cellStyle name="쉼표 [0] 9 12" xfId="2618" xr:uid="{00000000-0005-0000-0000-0000680A0000}"/>
    <cellStyle name="쉼표 [0] 9 2" xfId="2619" xr:uid="{00000000-0005-0000-0000-0000690A0000}"/>
    <cellStyle name="쉼표 [0] 9 3" xfId="2620" xr:uid="{00000000-0005-0000-0000-00006A0A0000}"/>
    <cellStyle name="쉼표 [0] 9 4" xfId="2621" xr:uid="{00000000-0005-0000-0000-00006B0A0000}"/>
    <cellStyle name="쉼표 [0] 9 5" xfId="2622" xr:uid="{00000000-0005-0000-0000-00006C0A0000}"/>
    <cellStyle name="쉼표 [0] 9 6" xfId="2623" xr:uid="{00000000-0005-0000-0000-00006D0A0000}"/>
    <cellStyle name="쉼표 [0] 9 7" xfId="2624" xr:uid="{00000000-0005-0000-0000-00006E0A0000}"/>
    <cellStyle name="쉼표 [0] 9 8" xfId="2625" xr:uid="{00000000-0005-0000-0000-00006F0A0000}"/>
    <cellStyle name="쉼표 [0] 9 9" xfId="2626" xr:uid="{00000000-0005-0000-0000-0000700A0000}"/>
    <cellStyle name="스타일 1" xfId="2627" xr:uid="{00000000-0005-0000-0000-0000710A0000}"/>
    <cellStyle name="스타일 1 2" xfId="3147" xr:uid="{00000000-0005-0000-0000-0000720A0000}"/>
    <cellStyle name="스타일 10" xfId="3148" xr:uid="{00000000-0005-0000-0000-0000730A0000}"/>
    <cellStyle name="스타일 11" xfId="3149" xr:uid="{00000000-0005-0000-0000-0000740A0000}"/>
    <cellStyle name="스타일 12" xfId="3150" xr:uid="{00000000-0005-0000-0000-0000750A0000}"/>
    <cellStyle name="스타일 13" xfId="3151" xr:uid="{00000000-0005-0000-0000-0000760A0000}"/>
    <cellStyle name="스타일 14" xfId="3152" xr:uid="{00000000-0005-0000-0000-0000770A0000}"/>
    <cellStyle name="스타일 15" xfId="3153" xr:uid="{00000000-0005-0000-0000-0000780A0000}"/>
    <cellStyle name="스타일 16" xfId="3154" xr:uid="{00000000-0005-0000-0000-0000790A0000}"/>
    <cellStyle name="스타일 17" xfId="3155" xr:uid="{00000000-0005-0000-0000-00007A0A0000}"/>
    <cellStyle name="스타일 18" xfId="3156" xr:uid="{00000000-0005-0000-0000-00007B0A0000}"/>
    <cellStyle name="스타일 19" xfId="3157" xr:uid="{00000000-0005-0000-0000-00007C0A0000}"/>
    <cellStyle name="스타일 2" xfId="3158" xr:uid="{00000000-0005-0000-0000-00007D0A0000}"/>
    <cellStyle name="스타일 20" xfId="3159" xr:uid="{00000000-0005-0000-0000-00007E0A0000}"/>
    <cellStyle name="스타일 21" xfId="3160" xr:uid="{00000000-0005-0000-0000-00007F0A0000}"/>
    <cellStyle name="스타일 3" xfId="3161" xr:uid="{00000000-0005-0000-0000-0000800A0000}"/>
    <cellStyle name="스타일 4" xfId="3162" xr:uid="{00000000-0005-0000-0000-0000810A0000}"/>
    <cellStyle name="스타일 5" xfId="3163" xr:uid="{00000000-0005-0000-0000-0000820A0000}"/>
    <cellStyle name="스타일 6" xfId="3164" xr:uid="{00000000-0005-0000-0000-0000830A0000}"/>
    <cellStyle name="스타일 7" xfId="3165" xr:uid="{00000000-0005-0000-0000-0000840A0000}"/>
    <cellStyle name="스타일 8" xfId="3166" xr:uid="{00000000-0005-0000-0000-0000850A0000}"/>
    <cellStyle name="스타일 9" xfId="3167" xr:uid="{00000000-0005-0000-0000-0000860A0000}"/>
    <cellStyle name="연결된 셀 2" xfId="2628" xr:uid="{00000000-0005-0000-0000-0000870A0000}"/>
    <cellStyle name="요약 2" xfId="2629" xr:uid="{00000000-0005-0000-0000-0000880A0000}"/>
    <cellStyle name="입력 2" xfId="2630" xr:uid="{00000000-0005-0000-0000-0000890A0000}"/>
    <cellStyle name="제목 1 2" xfId="2631" xr:uid="{00000000-0005-0000-0000-00008A0A0000}"/>
    <cellStyle name="제목 2 2" xfId="2632" xr:uid="{00000000-0005-0000-0000-00008B0A0000}"/>
    <cellStyle name="제목 3 2" xfId="2633" xr:uid="{00000000-0005-0000-0000-00008C0A0000}"/>
    <cellStyle name="제목 4 2" xfId="2634" xr:uid="{00000000-0005-0000-0000-00008D0A0000}"/>
    <cellStyle name="제목 5" xfId="2635" xr:uid="{00000000-0005-0000-0000-00008E0A0000}"/>
    <cellStyle name="좋음 2" xfId="2636" xr:uid="{00000000-0005-0000-0000-00008F0A0000}"/>
    <cellStyle name="출력 2" xfId="2637" xr:uid="{00000000-0005-0000-0000-0000900A0000}"/>
    <cellStyle name="콤마 [0]_1" xfId="2638" xr:uid="{00000000-0005-0000-0000-0000910A0000}"/>
    <cellStyle name="콤마_1" xfId="2639" xr:uid="{00000000-0005-0000-0000-0000920A0000}"/>
    <cellStyle name="통화 [0]" xfId="7" builtinId="7"/>
    <cellStyle name="통화 [0] 10" xfId="2641" xr:uid="{00000000-0005-0000-0000-0000940A0000}"/>
    <cellStyle name="통화 [0] 11" xfId="2642" xr:uid="{00000000-0005-0000-0000-0000950A0000}"/>
    <cellStyle name="통화 [0] 12" xfId="3118" xr:uid="{00000000-0005-0000-0000-0000960A0000}"/>
    <cellStyle name="통화 [0] 12 2" xfId="2643" xr:uid="{00000000-0005-0000-0000-0000970A0000}"/>
    <cellStyle name="통화 [0] 13" xfId="3126" xr:uid="{00000000-0005-0000-0000-0000980A0000}"/>
    <cellStyle name="통화 [0] 14" xfId="3176" xr:uid="{00000000-0005-0000-0000-0000990A0000}"/>
    <cellStyle name="통화 [0] 15" xfId="3185" xr:uid="{00000000-0005-0000-0000-00009A0A0000}"/>
    <cellStyle name="통화 [0] 16" xfId="3198" xr:uid="{00000000-0005-0000-0000-00009B0A0000}"/>
    <cellStyle name="통화 [0] 17" xfId="3217" xr:uid="{00000000-0005-0000-0000-00009C0A0000}"/>
    <cellStyle name="통화 [0] 17 2" xfId="3277" xr:uid="{00000000-0005-0000-0000-00009D0A0000}"/>
    <cellStyle name="통화 [0] 17 2 2" xfId="3389" xr:uid="{00000000-0005-0000-0000-00009E0A0000}"/>
    <cellStyle name="통화 [0] 17 2 2 2" xfId="3718" xr:uid="{00000000-0005-0000-0000-00009F0A0000}"/>
    <cellStyle name="통화 [0] 17 2 3" xfId="3498" xr:uid="{00000000-0005-0000-0000-0000A00A0000}"/>
    <cellStyle name="통화 [0] 17 2 3 2" xfId="3827" xr:uid="{00000000-0005-0000-0000-0000A10A0000}"/>
    <cellStyle name="통화 [0] 17 2 4" xfId="3610" xr:uid="{00000000-0005-0000-0000-0000A20A0000}"/>
    <cellStyle name="통화 [0] 17 3" xfId="3335" xr:uid="{00000000-0005-0000-0000-0000A30A0000}"/>
    <cellStyle name="통화 [0] 17 3 2" xfId="3664" xr:uid="{00000000-0005-0000-0000-0000A40A0000}"/>
    <cellStyle name="통화 [0] 17 4" xfId="3444" xr:uid="{00000000-0005-0000-0000-0000A50A0000}"/>
    <cellStyle name="통화 [0] 17 4 2" xfId="3773" xr:uid="{00000000-0005-0000-0000-0000A60A0000}"/>
    <cellStyle name="통화 [0] 17 5" xfId="3556" xr:uid="{00000000-0005-0000-0000-0000A70A0000}"/>
    <cellStyle name="통화 [0] 18" xfId="3241" xr:uid="{00000000-0005-0000-0000-0000A80A0000}"/>
    <cellStyle name="통화 [0] 19" xfId="3299" xr:uid="{00000000-0005-0000-0000-0000A90A0000}"/>
    <cellStyle name="통화 [0] 2" xfId="2644" xr:uid="{00000000-0005-0000-0000-0000AA0A0000}"/>
    <cellStyle name="통화 [0] 2 10" xfId="2645" xr:uid="{00000000-0005-0000-0000-0000AB0A0000}"/>
    <cellStyle name="통화 [0] 2 10 2" xfId="2646" xr:uid="{00000000-0005-0000-0000-0000AC0A0000}"/>
    <cellStyle name="통화 [0] 2 10 3" xfId="2647" xr:uid="{00000000-0005-0000-0000-0000AD0A0000}"/>
    <cellStyle name="통화 [0] 2 11" xfId="2648" xr:uid="{00000000-0005-0000-0000-0000AE0A0000}"/>
    <cellStyle name="통화 [0] 2 11 2" xfId="2649" xr:uid="{00000000-0005-0000-0000-0000AF0A0000}"/>
    <cellStyle name="통화 [0] 2 11 3" xfId="2650" xr:uid="{00000000-0005-0000-0000-0000B00A0000}"/>
    <cellStyle name="통화 [0] 2 12" xfId="2651" xr:uid="{00000000-0005-0000-0000-0000B10A0000}"/>
    <cellStyle name="통화 [0] 2 12 2" xfId="2652" xr:uid="{00000000-0005-0000-0000-0000B20A0000}"/>
    <cellStyle name="통화 [0] 2 12 3" xfId="2653" xr:uid="{00000000-0005-0000-0000-0000B30A0000}"/>
    <cellStyle name="통화 [0] 2 13" xfId="2654" xr:uid="{00000000-0005-0000-0000-0000B40A0000}"/>
    <cellStyle name="통화 [0] 2 13 2" xfId="2655" xr:uid="{00000000-0005-0000-0000-0000B50A0000}"/>
    <cellStyle name="통화 [0] 2 13 3" xfId="2656" xr:uid="{00000000-0005-0000-0000-0000B60A0000}"/>
    <cellStyle name="통화 [0] 2 14" xfId="2657" xr:uid="{00000000-0005-0000-0000-0000B70A0000}"/>
    <cellStyle name="통화 [0] 2 14 2" xfId="2658" xr:uid="{00000000-0005-0000-0000-0000B80A0000}"/>
    <cellStyle name="통화 [0] 2 14 3" xfId="2659" xr:uid="{00000000-0005-0000-0000-0000B90A0000}"/>
    <cellStyle name="통화 [0] 2 15" xfId="2660" xr:uid="{00000000-0005-0000-0000-0000BA0A0000}"/>
    <cellStyle name="통화 [0] 2 15 2" xfId="2661" xr:uid="{00000000-0005-0000-0000-0000BB0A0000}"/>
    <cellStyle name="통화 [0] 2 15 3" xfId="2662" xr:uid="{00000000-0005-0000-0000-0000BC0A0000}"/>
    <cellStyle name="통화 [0] 2 16" xfId="2663" xr:uid="{00000000-0005-0000-0000-0000BD0A0000}"/>
    <cellStyle name="통화 [0] 2 17" xfId="2664" xr:uid="{00000000-0005-0000-0000-0000BE0A0000}"/>
    <cellStyle name="통화 [0] 2 18" xfId="2665" xr:uid="{00000000-0005-0000-0000-0000BF0A0000}"/>
    <cellStyle name="통화 [0] 2 19" xfId="2666" xr:uid="{00000000-0005-0000-0000-0000C00A0000}"/>
    <cellStyle name="통화 [0] 2 2" xfId="2667" xr:uid="{00000000-0005-0000-0000-0000C10A0000}"/>
    <cellStyle name="통화 [0] 2 2 10" xfId="2668" xr:uid="{00000000-0005-0000-0000-0000C20A0000}"/>
    <cellStyle name="통화 [0] 2 2 2" xfId="2669" xr:uid="{00000000-0005-0000-0000-0000C30A0000}"/>
    <cellStyle name="통화 [0] 2 2 2 2" xfId="2670" xr:uid="{00000000-0005-0000-0000-0000C40A0000}"/>
    <cellStyle name="통화 [0] 2 2 2 2 2" xfId="2671" xr:uid="{00000000-0005-0000-0000-0000C50A0000}"/>
    <cellStyle name="통화 [0] 2 2 2 2 2 2" xfId="2672" xr:uid="{00000000-0005-0000-0000-0000C60A0000}"/>
    <cellStyle name="통화 [0] 2 2 2 2 2 2 2" xfId="2673" xr:uid="{00000000-0005-0000-0000-0000C70A0000}"/>
    <cellStyle name="통화 [0] 2 2 2 2 2 2 2 2" xfId="2674" xr:uid="{00000000-0005-0000-0000-0000C80A0000}"/>
    <cellStyle name="통화 [0] 2 2 2 2 2 2 2 2 2" xfId="2675" xr:uid="{00000000-0005-0000-0000-0000C90A0000}"/>
    <cellStyle name="통화 [0] 2 2 2 2 2 2 2 2 2 2" xfId="2676" xr:uid="{00000000-0005-0000-0000-0000CA0A0000}"/>
    <cellStyle name="통화 [0] 2 2 2 2 2 2 2 2 2 2 2" xfId="2677" xr:uid="{00000000-0005-0000-0000-0000CB0A0000}"/>
    <cellStyle name="통화 [0] 2 2 2 2 2 2 2 2 2 2 2 2" xfId="2678" xr:uid="{00000000-0005-0000-0000-0000CC0A0000}"/>
    <cellStyle name="통화 [0] 2 2 2 2 2 2 2 2 2 2 2 2 2" xfId="2679" xr:uid="{00000000-0005-0000-0000-0000CD0A0000}"/>
    <cellStyle name="통화 [0] 2 2 2 2 2 2 2 2 2 2 3" xfId="2680" xr:uid="{00000000-0005-0000-0000-0000CE0A0000}"/>
    <cellStyle name="통화 [0] 2 2 2 2 2 2 2 2 2 3" xfId="2681" xr:uid="{00000000-0005-0000-0000-0000CF0A0000}"/>
    <cellStyle name="통화 [0] 2 2 2 2 2 2 2 2 3" xfId="2682" xr:uid="{00000000-0005-0000-0000-0000D00A0000}"/>
    <cellStyle name="통화 [0] 2 2 2 2 2 2 2 2 4" xfId="2683" xr:uid="{00000000-0005-0000-0000-0000D10A0000}"/>
    <cellStyle name="통화 [0] 2 2 2 2 2 2 2 3" xfId="2684" xr:uid="{00000000-0005-0000-0000-0000D20A0000}"/>
    <cellStyle name="통화 [0] 2 2 2 2 2 2 2 3 2" xfId="2685" xr:uid="{00000000-0005-0000-0000-0000D30A0000}"/>
    <cellStyle name="통화 [0] 2 2 2 2 2 2 2 4" xfId="2686" xr:uid="{00000000-0005-0000-0000-0000D40A0000}"/>
    <cellStyle name="통화 [0] 2 2 2 2 2 2 3" xfId="2687" xr:uid="{00000000-0005-0000-0000-0000D50A0000}"/>
    <cellStyle name="통화 [0] 2 2 2 2 2 2 4" xfId="2688" xr:uid="{00000000-0005-0000-0000-0000D60A0000}"/>
    <cellStyle name="통화 [0] 2 2 2 2 2 2 5" xfId="2689" xr:uid="{00000000-0005-0000-0000-0000D70A0000}"/>
    <cellStyle name="통화 [0] 2 2 2 2 2 3" xfId="2690" xr:uid="{00000000-0005-0000-0000-0000D80A0000}"/>
    <cellStyle name="통화 [0] 2 2 2 2 2 3 2" xfId="2691" xr:uid="{00000000-0005-0000-0000-0000D90A0000}"/>
    <cellStyle name="통화 [0] 2 2 2 2 2 4" xfId="2692" xr:uid="{00000000-0005-0000-0000-0000DA0A0000}"/>
    <cellStyle name="통화 [0] 2 2 2 2 2 4 2" xfId="2693" xr:uid="{00000000-0005-0000-0000-0000DB0A0000}"/>
    <cellStyle name="통화 [0] 2 2 2 2 2 5" xfId="2694" xr:uid="{00000000-0005-0000-0000-0000DC0A0000}"/>
    <cellStyle name="통화 [0] 2 2 2 2 3" xfId="2695" xr:uid="{00000000-0005-0000-0000-0000DD0A0000}"/>
    <cellStyle name="통화 [0] 2 2 2 2 4" xfId="2696" xr:uid="{00000000-0005-0000-0000-0000DE0A0000}"/>
    <cellStyle name="통화 [0] 2 2 2 2 5" xfId="2697" xr:uid="{00000000-0005-0000-0000-0000DF0A0000}"/>
    <cellStyle name="통화 [0] 2 2 2 2 6" xfId="2698" xr:uid="{00000000-0005-0000-0000-0000E00A0000}"/>
    <cellStyle name="통화 [0] 2 2 2 3" xfId="2699" xr:uid="{00000000-0005-0000-0000-0000E10A0000}"/>
    <cellStyle name="통화 [0] 2 2 2 4" xfId="2700" xr:uid="{00000000-0005-0000-0000-0000E20A0000}"/>
    <cellStyle name="통화 [0] 2 2 2 5" xfId="2701" xr:uid="{00000000-0005-0000-0000-0000E30A0000}"/>
    <cellStyle name="통화 [0] 2 2 2 6" xfId="2702" xr:uid="{00000000-0005-0000-0000-0000E40A0000}"/>
    <cellStyle name="통화 [0] 2 2 3" xfId="2703" xr:uid="{00000000-0005-0000-0000-0000E50A0000}"/>
    <cellStyle name="통화 [0] 2 2 4" xfId="2704" xr:uid="{00000000-0005-0000-0000-0000E60A0000}"/>
    <cellStyle name="통화 [0] 2 2 5" xfId="2705" xr:uid="{00000000-0005-0000-0000-0000E70A0000}"/>
    <cellStyle name="통화 [0] 2 2 5 2" xfId="2706" xr:uid="{00000000-0005-0000-0000-0000E80A0000}"/>
    <cellStyle name="통화 [0] 2 2 5 3" xfId="2707" xr:uid="{00000000-0005-0000-0000-0000E90A0000}"/>
    <cellStyle name="통화 [0] 2 2 5 3 2" xfId="2708" xr:uid="{00000000-0005-0000-0000-0000EA0A0000}"/>
    <cellStyle name="통화 [0] 2 2 5 4" xfId="2709" xr:uid="{00000000-0005-0000-0000-0000EB0A0000}"/>
    <cellStyle name="통화 [0] 2 2 6" xfId="2710" xr:uid="{00000000-0005-0000-0000-0000EC0A0000}"/>
    <cellStyle name="통화 [0] 2 2 6 2" xfId="2711" xr:uid="{00000000-0005-0000-0000-0000ED0A0000}"/>
    <cellStyle name="통화 [0] 2 2 6 2 2" xfId="2712" xr:uid="{00000000-0005-0000-0000-0000EE0A0000}"/>
    <cellStyle name="통화 [0] 2 2 7" xfId="2713" xr:uid="{00000000-0005-0000-0000-0000EF0A0000}"/>
    <cellStyle name="통화 [0] 2 2 8" xfId="2714" xr:uid="{00000000-0005-0000-0000-0000F00A0000}"/>
    <cellStyle name="통화 [0] 2 2 9" xfId="2715" xr:uid="{00000000-0005-0000-0000-0000F10A0000}"/>
    <cellStyle name="통화 [0] 2 20" xfId="2716" xr:uid="{00000000-0005-0000-0000-0000F20A0000}"/>
    <cellStyle name="통화 [0] 2 21" xfId="2717" xr:uid="{00000000-0005-0000-0000-0000F30A0000}"/>
    <cellStyle name="통화 [0] 2 22" xfId="2718" xr:uid="{00000000-0005-0000-0000-0000F40A0000}"/>
    <cellStyle name="통화 [0] 2 23" xfId="2719" xr:uid="{00000000-0005-0000-0000-0000F50A0000}"/>
    <cellStyle name="통화 [0] 2 24" xfId="2720" xr:uid="{00000000-0005-0000-0000-0000F60A0000}"/>
    <cellStyle name="통화 [0] 2 25" xfId="2721" xr:uid="{00000000-0005-0000-0000-0000F70A0000}"/>
    <cellStyle name="통화 [0] 2 26" xfId="2722" xr:uid="{00000000-0005-0000-0000-0000F80A0000}"/>
    <cellStyle name="통화 [0] 2 27" xfId="2723" xr:uid="{00000000-0005-0000-0000-0000F90A0000}"/>
    <cellStyle name="통화 [0] 2 28" xfId="2724" xr:uid="{00000000-0005-0000-0000-0000FA0A0000}"/>
    <cellStyle name="통화 [0] 2 28 2" xfId="2725" xr:uid="{00000000-0005-0000-0000-0000FB0A0000}"/>
    <cellStyle name="통화 [0] 2 3" xfId="2726" xr:uid="{00000000-0005-0000-0000-0000FC0A0000}"/>
    <cellStyle name="통화 [0] 2 3 2" xfId="2727" xr:uid="{00000000-0005-0000-0000-0000FD0A0000}"/>
    <cellStyle name="통화 [0] 2 3 2 2" xfId="2728" xr:uid="{00000000-0005-0000-0000-0000FE0A0000}"/>
    <cellStyle name="통화 [0] 2 3 2 2 2" xfId="2729" xr:uid="{00000000-0005-0000-0000-0000FF0A0000}"/>
    <cellStyle name="통화 [0] 2 3 2 3" xfId="2730" xr:uid="{00000000-0005-0000-0000-0000000B0000}"/>
    <cellStyle name="통화 [0] 2 3 3" xfId="2731" xr:uid="{00000000-0005-0000-0000-0000010B0000}"/>
    <cellStyle name="통화 [0] 2 3 4" xfId="2732" xr:uid="{00000000-0005-0000-0000-0000020B0000}"/>
    <cellStyle name="통화 [0] 2 3 5" xfId="2733" xr:uid="{00000000-0005-0000-0000-0000030B0000}"/>
    <cellStyle name="통화 [0] 2 3 6" xfId="2734" xr:uid="{00000000-0005-0000-0000-0000040B0000}"/>
    <cellStyle name="통화 [0] 2 3 7" xfId="2735" xr:uid="{00000000-0005-0000-0000-0000050B0000}"/>
    <cellStyle name="통화 [0] 2 4" xfId="2736" xr:uid="{00000000-0005-0000-0000-0000060B0000}"/>
    <cellStyle name="통화 [0] 2 4 2" xfId="2737" xr:uid="{00000000-0005-0000-0000-0000070B0000}"/>
    <cellStyle name="통화 [0] 2 4 2 2" xfId="2738" xr:uid="{00000000-0005-0000-0000-0000080B0000}"/>
    <cellStyle name="통화 [0] 2 4 2 2 2" xfId="2739" xr:uid="{00000000-0005-0000-0000-0000090B0000}"/>
    <cellStyle name="통화 [0] 2 4 2 3" xfId="2740" xr:uid="{00000000-0005-0000-0000-00000A0B0000}"/>
    <cellStyle name="통화 [0] 2 4 3" xfId="2741" xr:uid="{00000000-0005-0000-0000-00000B0B0000}"/>
    <cellStyle name="통화 [0] 2 4 4" xfId="2742" xr:uid="{00000000-0005-0000-0000-00000C0B0000}"/>
    <cellStyle name="통화 [0] 2 4 5" xfId="2743" xr:uid="{00000000-0005-0000-0000-00000D0B0000}"/>
    <cellStyle name="통화 [0] 2 4 6" xfId="2744" xr:uid="{00000000-0005-0000-0000-00000E0B0000}"/>
    <cellStyle name="통화 [0] 2 4 7" xfId="2745" xr:uid="{00000000-0005-0000-0000-00000F0B0000}"/>
    <cellStyle name="통화 [0] 2 5" xfId="2746" xr:uid="{00000000-0005-0000-0000-0000100B0000}"/>
    <cellStyle name="통화 [0] 2 6" xfId="2747" xr:uid="{00000000-0005-0000-0000-0000110B0000}"/>
    <cellStyle name="통화 [0] 2 6 2" xfId="2748" xr:uid="{00000000-0005-0000-0000-0000120B0000}"/>
    <cellStyle name="통화 [0] 2 6 2 2" xfId="2749" xr:uid="{00000000-0005-0000-0000-0000130B0000}"/>
    <cellStyle name="통화 [0] 2 6 2 2 2" xfId="2750" xr:uid="{00000000-0005-0000-0000-0000140B0000}"/>
    <cellStyle name="통화 [0] 2 6 2 3" xfId="2751" xr:uid="{00000000-0005-0000-0000-0000150B0000}"/>
    <cellStyle name="통화 [0] 2 6 3" xfId="2752" xr:uid="{00000000-0005-0000-0000-0000160B0000}"/>
    <cellStyle name="통화 [0] 2 6 4" xfId="2753" xr:uid="{00000000-0005-0000-0000-0000170B0000}"/>
    <cellStyle name="통화 [0] 2 6 5" xfId="2754" xr:uid="{00000000-0005-0000-0000-0000180B0000}"/>
    <cellStyle name="통화 [0] 2 6 6" xfId="2755" xr:uid="{00000000-0005-0000-0000-0000190B0000}"/>
    <cellStyle name="통화 [0] 2 6 7" xfId="2756" xr:uid="{00000000-0005-0000-0000-00001A0B0000}"/>
    <cellStyle name="통화 [0] 2 7" xfId="2757" xr:uid="{00000000-0005-0000-0000-00001B0B0000}"/>
    <cellStyle name="통화 [0] 2 7 2" xfId="2758" xr:uid="{00000000-0005-0000-0000-00001C0B0000}"/>
    <cellStyle name="통화 [0] 2 7 3" xfId="2759" xr:uid="{00000000-0005-0000-0000-00001D0B0000}"/>
    <cellStyle name="통화 [0] 2 8" xfId="2760" xr:uid="{00000000-0005-0000-0000-00001E0B0000}"/>
    <cellStyle name="통화 [0] 2 8 2" xfId="2761" xr:uid="{00000000-0005-0000-0000-00001F0B0000}"/>
    <cellStyle name="통화 [0] 2 8 3" xfId="2762" xr:uid="{00000000-0005-0000-0000-0000200B0000}"/>
    <cellStyle name="통화 [0] 2 9" xfId="2763" xr:uid="{00000000-0005-0000-0000-0000210B0000}"/>
    <cellStyle name="통화 [0] 2 9 2" xfId="2764" xr:uid="{00000000-0005-0000-0000-0000220B0000}"/>
    <cellStyle name="통화 [0] 2 9 3" xfId="2765" xr:uid="{00000000-0005-0000-0000-0000230B0000}"/>
    <cellStyle name="통화 [0] 20" xfId="3520" xr:uid="{00000000-0005-0000-0000-0000240B0000}"/>
    <cellStyle name="통화 [0] 21" xfId="2640" xr:uid="{00000000-0005-0000-0000-0000250B0000}"/>
    <cellStyle name="통화 [0] 3" xfId="2766" xr:uid="{00000000-0005-0000-0000-0000260B0000}"/>
    <cellStyle name="통화 [0] 3 10" xfId="2767" xr:uid="{00000000-0005-0000-0000-0000270B0000}"/>
    <cellStyle name="통화 [0] 3 11" xfId="2768" xr:uid="{00000000-0005-0000-0000-0000280B0000}"/>
    <cellStyle name="통화 [0] 3 12" xfId="2769" xr:uid="{00000000-0005-0000-0000-0000290B0000}"/>
    <cellStyle name="통화 [0] 3 2" xfId="2770" xr:uid="{00000000-0005-0000-0000-00002A0B0000}"/>
    <cellStyle name="통화 [0] 3 3" xfId="2771" xr:uid="{00000000-0005-0000-0000-00002B0B0000}"/>
    <cellStyle name="통화 [0] 3 4" xfId="2772" xr:uid="{00000000-0005-0000-0000-00002C0B0000}"/>
    <cellStyle name="통화 [0] 3 5" xfId="2773" xr:uid="{00000000-0005-0000-0000-00002D0B0000}"/>
    <cellStyle name="통화 [0] 3 6" xfId="2774" xr:uid="{00000000-0005-0000-0000-00002E0B0000}"/>
    <cellStyle name="통화 [0] 3 7" xfId="2775" xr:uid="{00000000-0005-0000-0000-00002F0B0000}"/>
    <cellStyle name="통화 [0] 3 8" xfId="2776" xr:uid="{00000000-0005-0000-0000-0000300B0000}"/>
    <cellStyle name="통화 [0] 3 9" xfId="2777" xr:uid="{00000000-0005-0000-0000-0000310B0000}"/>
    <cellStyle name="통화 [0] 33" xfId="2778" xr:uid="{00000000-0005-0000-0000-0000320B0000}"/>
    <cellStyle name="통화 [0] 33 2" xfId="2779" xr:uid="{00000000-0005-0000-0000-0000330B0000}"/>
    <cellStyle name="통화 [0] 4" xfId="2780" xr:uid="{00000000-0005-0000-0000-0000340B0000}"/>
    <cellStyle name="통화 [0] 4 10" xfId="2781" xr:uid="{00000000-0005-0000-0000-0000350B0000}"/>
    <cellStyle name="통화 [0] 4 11" xfId="2782" xr:uid="{00000000-0005-0000-0000-0000360B0000}"/>
    <cellStyle name="통화 [0] 4 12" xfId="2783" xr:uid="{00000000-0005-0000-0000-0000370B0000}"/>
    <cellStyle name="통화 [0] 4 2" xfId="2784" xr:uid="{00000000-0005-0000-0000-0000380B0000}"/>
    <cellStyle name="통화 [0] 4 3" xfId="2785" xr:uid="{00000000-0005-0000-0000-0000390B0000}"/>
    <cellStyle name="통화 [0] 4 4" xfId="2786" xr:uid="{00000000-0005-0000-0000-00003A0B0000}"/>
    <cellStyle name="통화 [0] 4 5" xfId="2787" xr:uid="{00000000-0005-0000-0000-00003B0B0000}"/>
    <cellStyle name="통화 [0] 4 6" xfId="2788" xr:uid="{00000000-0005-0000-0000-00003C0B0000}"/>
    <cellStyle name="통화 [0] 4 7" xfId="2789" xr:uid="{00000000-0005-0000-0000-00003D0B0000}"/>
    <cellStyle name="통화 [0] 4 8" xfId="2790" xr:uid="{00000000-0005-0000-0000-00003E0B0000}"/>
    <cellStyle name="통화 [0] 4 9" xfId="2791" xr:uid="{00000000-0005-0000-0000-00003F0B0000}"/>
    <cellStyle name="통화 [0] 5" xfId="2792" xr:uid="{00000000-0005-0000-0000-0000400B0000}"/>
    <cellStyle name="통화 [0] 5 10" xfId="2793" xr:uid="{00000000-0005-0000-0000-0000410B0000}"/>
    <cellStyle name="통화 [0] 5 11" xfId="2794" xr:uid="{00000000-0005-0000-0000-0000420B0000}"/>
    <cellStyle name="통화 [0] 5 12" xfId="2795" xr:uid="{00000000-0005-0000-0000-0000430B0000}"/>
    <cellStyle name="통화 [0] 5 2" xfId="2796" xr:uid="{00000000-0005-0000-0000-0000440B0000}"/>
    <cellStyle name="통화 [0] 5 3" xfId="2797" xr:uid="{00000000-0005-0000-0000-0000450B0000}"/>
    <cellStyle name="통화 [0] 5 4" xfId="2798" xr:uid="{00000000-0005-0000-0000-0000460B0000}"/>
    <cellStyle name="통화 [0] 5 5" xfId="2799" xr:uid="{00000000-0005-0000-0000-0000470B0000}"/>
    <cellStyle name="통화 [0] 5 6" xfId="2800" xr:uid="{00000000-0005-0000-0000-0000480B0000}"/>
    <cellStyle name="통화 [0] 5 7" xfId="2801" xr:uid="{00000000-0005-0000-0000-0000490B0000}"/>
    <cellStyle name="통화 [0] 5 8" xfId="2802" xr:uid="{00000000-0005-0000-0000-00004A0B0000}"/>
    <cellStyle name="통화 [0] 5 9" xfId="2803" xr:uid="{00000000-0005-0000-0000-00004B0B0000}"/>
    <cellStyle name="통화 [0] 6" xfId="2804" xr:uid="{00000000-0005-0000-0000-00004C0B0000}"/>
    <cellStyle name="통화 [0] 6 10" xfId="2805" xr:uid="{00000000-0005-0000-0000-00004D0B0000}"/>
    <cellStyle name="통화 [0] 6 11" xfId="2806" xr:uid="{00000000-0005-0000-0000-00004E0B0000}"/>
    <cellStyle name="통화 [0] 6 12" xfId="2807" xr:uid="{00000000-0005-0000-0000-00004F0B0000}"/>
    <cellStyle name="통화 [0] 6 2" xfId="2808" xr:uid="{00000000-0005-0000-0000-0000500B0000}"/>
    <cellStyle name="통화 [0] 6 3" xfId="2809" xr:uid="{00000000-0005-0000-0000-0000510B0000}"/>
    <cellStyle name="통화 [0] 6 4" xfId="2810" xr:uid="{00000000-0005-0000-0000-0000520B0000}"/>
    <cellStyle name="통화 [0] 6 5" xfId="2811" xr:uid="{00000000-0005-0000-0000-0000530B0000}"/>
    <cellStyle name="통화 [0] 6 6" xfId="2812" xr:uid="{00000000-0005-0000-0000-0000540B0000}"/>
    <cellStyle name="통화 [0] 6 7" xfId="2813" xr:uid="{00000000-0005-0000-0000-0000550B0000}"/>
    <cellStyle name="통화 [0] 6 8" xfId="2814" xr:uid="{00000000-0005-0000-0000-0000560B0000}"/>
    <cellStyle name="통화 [0] 6 9" xfId="2815" xr:uid="{00000000-0005-0000-0000-0000570B0000}"/>
    <cellStyle name="통화 [0] 7" xfId="2816" xr:uid="{00000000-0005-0000-0000-0000580B0000}"/>
    <cellStyle name="통화 [0] 7 10" xfId="2817" xr:uid="{00000000-0005-0000-0000-0000590B0000}"/>
    <cellStyle name="통화 [0] 7 11" xfId="2818" xr:uid="{00000000-0005-0000-0000-00005A0B0000}"/>
    <cellStyle name="통화 [0] 7 12" xfId="2819" xr:uid="{00000000-0005-0000-0000-00005B0B0000}"/>
    <cellStyle name="통화 [0] 7 2" xfId="2820" xr:uid="{00000000-0005-0000-0000-00005C0B0000}"/>
    <cellStyle name="통화 [0] 7 3" xfId="2821" xr:uid="{00000000-0005-0000-0000-00005D0B0000}"/>
    <cellStyle name="통화 [0] 7 4" xfId="2822" xr:uid="{00000000-0005-0000-0000-00005E0B0000}"/>
    <cellStyle name="통화 [0] 7 5" xfId="2823" xr:uid="{00000000-0005-0000-0000-00005F0B0000}"/>
    <cellStyle name="통화 [0] 7 6" xfId="2824" xr:uid="{00000000-0005-0000-0000-0000600B0000}"/>
    <cellStyle name="통화 [0] 7 7" xfId="2825" xr:uid="{00000000-0005-0000-0000-0000610B0000}"/>
    <cellStyle name="통화 [0] 7 8" xfId="2826" xr:uid="{00000000-0005-0000-0000-0000620B0000}"/>
    <cellStyle name="통화 [0] 7 9" xfId="2827" xr:uid="{00000000-0005-0000-0000-0000630B0000}"/>
    <cellStyle name="통화 [0] 8" xfId="2828" xr:uid="{00000000-0005-0000-0000-0000640B0000}"/>
    <cellStyle name="통화 [0] 8 10" xfId="2829" xr:uid="{00000000-0005-0000-0000-0000650B0000}"/>
    <cellStyle name="통화 [0] 8 11" xfId="2830" xr:uid="{00000000-0005-0000-0000-0000660B0000}"/>
    <cellStyle name="통화 [0] 8 12" xfId="2831" xr:uid="{00000000-0005-0000-0000-0000670B0000}"/>
    <cellStyle name="통화 [0] 8 2" xfId="2832" xr:uid="{00000000-0005-0000-0000-0000680B0000}"/>
    <cellStyle name="통화 [0] 8 3" xfId="2833" xr:uid="{00000000-0005-0000-0000-0000690B0000}"/>
    <cellStyle name="통화 [0] 8 4" xfId="2834" xr:uid="{00000000-0005-0000-0000-00006A0B0000}"/>
    <cellStyle name="통화 [0] 8 5" xfId="2835" xr:uid="{00000000-0005-0000-0000-00006B0B0000}"/>
    <cellStyle name="통화 [0] 8 6" xfId="2836" xr:uid="{00000000-0005-0000-0000-00006C0B0000}"/>
    <cellStyle name="통화 [0] 8 7" xfId="2837" xr:uid="{00000000-0005-0000-0000-00006D0B0000}"/>
    <cellStyle name="통화 [0] 8 8" xfId="2838" xr:uid="{00000000-0005-0000-0000-00006E0B0000}"/>
    <cellStyle name="통화 [0] 8 9" xfId="2839" xr:uid="{00000000-0005-0000-0000-00006F0B0000}"/>
    <cellStyle name="통화 [0] 9" xfId="2840" xr:uid="{00000000-0005-0000-0000-0000700B0000}"/>
    <cellStyle name="표준" xfId="0" builtinId="0"/>
    <cellStyle name="표준 10" xfId="2841" xr:uid="{00000000-0005-0000-0000-0000720B0000}"/>
    <cellStyle name="표준 10 2" xfId="2842" xr:uid="{00000000-0005-0000-0000-0000730B0000}"/>
    <cellStyle name="표준 10 3" xfId="2843" xr:uid="{00000000-0005-0000-0000-0000740B0000}"/>
    <cellStyle name="표준 10 4" xfId="2844" xr:uid="{00000000-0005-0000-0000-0000750B0000}"/>
    <cellStyle name="표준 10 5" xfId="2845" xr:uid="{00000000-0005-0000-0000-0000760B0000}"/>
    <cellStyle name="표준 11" xfId="2846" xr:uid="{00000000-0005-0000-0000-0000770B0000}"/>
    <cellStyle name="표준 11 2" xfId="2847" xr:uid="{00000000-0005-0000-0000-0000780B0000}"/>
    <cellStyle name="표준 11 3" xfId="2848" xr:uid="{00000000-0005-0000-0000-0000790B0000}"/>
    <cellStyle name="표준 11 4" xfId="2849" xr:uid="{00000000-0005-0000-0000-00007A0B0000}"/>
    <cellStyle name="표준 11 5" xfId="2850" xr:uid="{00000000-0005-0000-0000-00007B0B0000}"/>
    <cellStyle name="표준 11 6" xfId="2851" xr:uid="{00000000-0005-0000-0000-00007C0B0000}"/>
    <cellStyle name="표준 11 7" xfId="2852" xr:uid="{00000000-0005-0000-0000-00007D0B0000}"/>
    <cellStyle name="표준 11 8" xfId="2853" xr:uid="{00000000-0005-0000-0000-00007E0B0000}"/>
    <cellStyle name="표준 12" xfId="3119" xr:uid="{00000000-0005-0000-0000-00007F0B0000}"/>
    <cellStyle name="표준 12 2" xfId="2854" xr:uid="{00000000-0005-0000-0000-0000800B0000}"/>
    <cellStyle name="표준 12 3" xfId="2855" xr:uid="{00000000-0005-0000-0000-0000810B0000}"/>
    <cellStyle name="표준 12 4" xfId="2856" xr:uid="{00000000-0005-0000-0000-0000820B0000}"/>
    <cellStyle name="표준 12 5" xfId="2857" xr:uid="{00000000-0005-0000-0000-0000830B0000}"/>
    <cellStyle name="표준 13" xfId="2858" xr:uid="{00000000-0005-0000-0000-0000840B0000}"/>
    <cellStyle name="표준 13 10" xfId="2859" xr:uid="{00000000-0005-0000-0000-0000850B0000}"/>
    <cellStyle name="표준 13 11" xfId="2860" xr:uid="{00000000-0005-0000-0000-0000860B0000}"/>
    <cellStyle name="표준 13 12" xfId="2861" xr:uid="{00000000-0005-0000-0000-0000870B0000}"/>
    <cellStyle name="표준 13 13" xfId="2862" xr:uid="{00000000-0005-0000-0000-0000880B0000}"/>
    <cellStyle name="표준 13 2" xfId="2863" xr:uid="{00000000-0005-0000-0000-0000890B0000}"/>
    <cellStyle name="표준 13 3" xfId="2864" xr:uid="{00000000-0005-0000-0000-00008A0B0000}"/>
    <cellStyle name="표준 13 4" xfId="2865" xr:uid="{00000000-0005-0000-0000-00008B0B0000}"/>
    <cellStyle name="표준 13 5" xfId="2866" xr:uid="{00000000-0005-0000-0000-00008C0B0000}"/>
    <cellStyle name="표준 13 6" xfId="2867" xr:uid="{00000000-0005-0000-0000-00008D0B0000}"/>
    <cellStyle name="표준 13 7" xfId="2868" xr:uid="{00000000-0005-0000-0000-00008E0B0000}"/>
    <cellStyle name="표준 13 8" xfId="2869" xr:uid="{00000000-0005-0000-0000-00008F0B0000}"/>
    <cellStyle name="표준 13 9" xfId="2870" xr:uid="{00000000-0005-0000-0000-0000900B0000}"/>
    <cellStyle name="표준 14" xfId="2871" xr:uid="{00000000-0005-0000-0000-0000910B0000}"/>
    <cellStyle name="標準 14" xfId="2872" xr:uid="{00000000-0005-0000-0000-0000920B0000}"/>
    <cellStyle name="표준 14 10" xfId="2873" xr:uid="{00000000-0005-0000-0000-0000930B0000}"/>
    <cellStyle name="표준 14 11" xfId="2874" xr:uid="{00000000-0005-0000-0000-0000940B0000}"/>
    <cellStyle name="표준 14 12" xfId="2875" xr:uid="{00000000-0005-0000-0000-0000950B0000}"/>
    <cellStyle name="표준 14 2" xfId="2876" xr:uid="{00000000-0005-0000-0000-0000960B0000}"/>
    <cellStyle name="표준 14 3" xfId="2877" xr:uid="{00000000-0005-0000-0000-0000970B0000}"/>
    <cellStyle name="표준 14 4" xfId="2878" xr:uid="{00000000-0005-0000-0000-0000980B0000}"/>
    <cellStyle name="표준 14 5" xfId="2879" xr:uid="{00000000-0005-0000-0000-0000990B0000}"/>
    <cellStyle name="표준 14 6" xfId="2880" xr:uid="{00000000-0005-0000-0000-00009A0B0000}"/>
    <cellStyle name="표준 14 7" xfId="2881" xr:uid="{00000000-0005-0000-0000-00009B0B0000}"/>
    <cellStyle name="표준 14 8" xfId="2882" xr:uid="{00000000-0005-0000-0000-00009C0B0000}"/>
    <cellStyle name="표준 14 9" xfId="2883" xr:uid="{00000000-0005-0000-0000-00009D0B0000}"/>
    <cellStyle name="표준 15" xfId="2884" xr:uid="{00000000-0005-0000-0000-00009E0B0000}"/>
    <cellStyle name="표준 15 10" xfId="2885" xr:uid="{00000000-0005-0000-0000-00009F0B0000}"/>
    <cellStyle name="표준 15 11" xfId="2886" xr:uid="{00000000-0005-0000-0000-0000A00B0000}"/>
    <cellStyle name="표준 15 12" xfId="2887" xr:uid="{00000000-0005-0000-0000-0000A10B0000}"/>
    <cellStyle name="표준 15 13" xfId="2888" xr:uid="{00000000-0005-0000-0000-0000A20B0000}"/>
    <cellStyle name="표준 15 2" xfId="2889" xr:uid="{00000000-0005-0000-0000-0000A30B0000}"/>
    <cellStyle name="표준 15 3" xfId="2890" xr:uid="{00000000-0005-0000-0000-0000A40B0000}"/>
    <cellStyle name="표준 15 4" xfId="2891" xr:uid="{00000000-0005-0000-0000-0000A50B0000}"/>
    <cellStyle name="표준 15 5" xfId="2892" xr:uid="{00000000-0005-0000-0000-0000A60B0000}"/>
    <cellStyle name="표준 15 6" xfId="2893" xr:uid="{00000000-0005-0000-0000-0000A70B0000}"/>
    <cellStyle name="표준 15 7" xfId="2894" xr:uid="{00000000-0005-0000-0000-0000A80B0000}"/>
    <cellStyle name="표준 15 8" xfId="2895" xr:uid="{00000000-0005-0000-0000-0000A90B0000}"/>
    <cellStyle name="표준 15 9" xfId="2896" xr:uid="{00000000-0005-0000-0000-0000AA0B0000}"/>
    <cellStyle name="표준 16" xfId="2897" xr:uid="{00000000-0005-0000-0000-0000AB0B0000}"/>
    <cellStyle name="표준 16 10" xfId="2898" xr:uid="{00000000-0005-0000-0000-0000AC0B0000}"/>
    <cellStyle name="표준 16 11" xfId="2899" xr:uid="{00000000-0005-0000-0000-0000AD0B0000}"/>
    <cellStyle name="표준 16 12" xfId="2900" xr:uid="{00000000-0005-0000-0000-0000AE0B0000}"/>
    <cellStyle name="표준 16 13" xfId="2901" xr:uid="{00000000-0005-0000-0000-0000AF0B0000}"/>
    <cellStyle name="표준 16 2" xfId="2902" xr:uid="{00000000-0005-0000-0000-0000B00B0000}"/>
    <cellStyle name="표준 16 3" xfId="2903" xr:uid="{00000000-0005-0000-0000-0000B10B0000}"/>
    <cellStyle name="표준 16 4" xfId="2904" xr:uid="{00000000-0005-0000-0000-0000B20B0000}"/>
    <cellStyle name="표준 16 5" xfId="2905" xr:uid="{00000000-0005-0000-0000-0000B30B0000}"/>
    <cellStyle name="표준 16 6" xfId="2906" xr:uid="{00000000-0005-0000-0000-0000B40B0000}"/>
    <cellStyle name="표준 16 7" xfId="2907" xr:uid="{00000000-0005-0000-0000-0000B50B0000}"/>
    <cellStyle name="표준 16 8" xfId="2908" xr:uid="{00000000-0005-0000-0000-0000B60B0000}"/>
    <cellStyle name="표준 16 9" xfId="2909" xr:uid="{00000000-0005-0000-0000-0000B70B0000}"/>
    <cellStyle name="표준 17" xfId="2910" xr:uid="{00000000-0005-0000-0000-0000B80B0000}"/>
    <cellStyle name="표준 18" xfId="2911" xr:uid="{00000000-0005-0000-0000-0000B90B0000}"/>
    <cellStyle name="표준 19" xfId="2912" xr:uid="{00000000-0005-0000-0000-0000BA0B0000}"/>
    <cellStyle name="표준 19 2" xfId="2913" xr:uid="{00000000-0005-0000-0000-0000BB0B0000}"/>
    <cellStyle name="표준 19 3" xfId="2914" xr:uid="{00000000-0005-0000-0000-0000BC0B0000}"/>
    <cellStyle name="표준 19 4" xfId="2915" xr:uid="{00000000-0005-0000-0000-0000BD0B0000}"/>
    <cellStyle name="표준 2" xfId="2" xr:uid="{00000000-0005-0000-0000-0000BE0B0000}"/>
    <cellStyle name="표준 2 10" xfId="2917" xr:uid="{00000000-0005-0000-0000-0000BF0B0000}"/>
    <cellStyle name="표준 2 11" xfId="2918" xr:uid="{00000000-0005-0000-0000-0000C00B0000}"/>
    <cellStyle name="표준 2 12" xfId="2919" xr:uid="{00000000-0005-0000-0000-0000C10B0000}"/>
    <cellStyle name="표준 2 13" xfId="2920" xr:uid="{00000000-0005-0000-0000-0000C20B0000}"/>
    <cellStyle name="표준 2 14" xfId="2921" xr:uid="{00000000-0005-0000-0000-0000C30B0000}"/>
    <cellStyle name="표준 2 15" xfId="2922" xr:uid="{00000000-0005-0000-0000-0000C40B0000}"/>
    <cellStyle name="표준 2 16" xfId="2923" xr:uid="{00000000-0005-0000-0000-0000C50B0000}"/>
    <cellStyle name="표준 2 17" xfId="2924" xr:uid="{00000000-0005-0000-0000-0000C60B0000}"/>
    <cellStyle name="표준 2 18" xfId="2925" xr:uid="{00000000-0005-0000-0000-0000C70B0000}"/>
    <cellStyle name="표준 2 19" xfId="2926" xr:uid="{00000000-0005-0000-0000-0000C80B0000}"/>
    <cellStyle name="표준 2 2" xfId="2927" xr:uid="{00000000-0005-0000-0000-0000C90B0000}"/>
    <cellStyle name="표준 2 2 2" xfId="2928" xr:uid="{00000000-0005-0000-0000-0000CA0B0000}"/>
    <cellStyle name="표준 2 2 2 2" xfId="2929" xr:uid="{00000000-0005-0000-0000-0000CB0B0000}"/>
    <cellStyle name="표준 2 2 2 2 2" xfId="2930" xr:uid="{00000000-0005-0000-0000-0000CC0B0000}"/>
    <cellStyle name="표준 2 2 2 2 2 2" xfId="2931" xr:uid="{00000000-0005-0000-0000-0000CD0B0000}"/>
    <cellStyle name="표준 2 2 2 2 2 2 2" xfId="2932" xr:uid="{00000000-0005-0000-0000-0000CE0B0000}"/>
    <cellStyle name="표준 2 2 2 2 2 2 2 2" xfId="2933" xr:uid="{00000000-0005-0000-0000-0000CF0B0000}"/>
    <cellStyle name="표준 2 2 2 2 2 2 2 2 2" xfId="2934" xr:uid="{00000000-0005-0000-0000-0000D00B0000}"/>
    <cellStyle name="표준 2 2 2 2 2 2 2 2 2 2" xfId="2935" xr:uid="{00000000-0005-0000-0000-0000D10B0000}"/>
    <cellStyle name="표준 2 2 2 2 2 2 2 2 2 2 2" xfId="2936" xr:uid="{00000000-0005-0000-0000-0000D20B0000}"/>
    <cellStyle name="표준 2 2 2 2 2 2 2 2 2 2 2 2" xfId="2937" xr:uid="{00000000-0005-0000-0000-0000D30B0000}"/>
    <cellStyle name="표준 2 2 2 2 2 2 2 2 2 2 2 2 2" xfId="2938" xr:uid="{00000000-0005-0000-0000-0000D40B0000}"/>
    <cellStyle name="표준 2 2 2 2 2 2 2 2 2 2 3" xfId="2939" xr:uid="{00000000-0005-0000-0000-0000D50B0000}"/>
    <cellStyle name="표준 2 2 2 2 2 2 2 2 2 3" xfId="2940" xr:uid="{00000000-0005-0000-0000-0000D60B0000}"/>
    <cellStyle name="표준 2 2 2 2 2 2 2 2 3" xfId="2941" xr:uid="{00000000-0005-0000-0000-0000D70B0000}"/>
    <cellStyle name="표준 2 2 2 2 2 2 2 2 4" xfId="2942" xr:uid="{00000000-0005-0000-0000-0000D80B0000}"/>
    <cellStyle name="표준 2 2 2 2 2 2 2 3" xfId="2943" xr:uid="{00000000-0005-0000-0000-0000D90B0000}"/>
    <cellStyle name="표준 2 2 2 2 2 2 2 4" xfId="2944" xr:uid="{00000000-0005-0000-0000-0000DA0B0000}"/>
    <cellStyle name="표준 2 2 2 2 2 2 3" xfId="2945" xr:uid="{00000000-0005-0000-0000-0000DB0B0000}"/>
    <cellStyle name="표준 2 2 2 2 2 2 4" xfId="2946" xr:uid="{00000000-0005-0000-0000-0000DC0B0000}"/>
    <cellStyle name="표준 2 2 2 2 2 2 5" xfId="2947" xr:uid="{00000000-0005-0000-0000-0000DD0B0000}"/>
    <cellStyle name="표준 2 2 2 2 2 3" xfId="2948" xr:uid="{00000000-0005-0000-0000-0000DE0B0000}"/>
    <cellStyle name="표준 2 2 2 2 2 4" xfId="2949" xr:uid="{00000000-0005-0000-0000-0000DF0B0000}"/>
    <cellStyle name="표준 2 2 2 2 2 5" xfId="2950" xr:uid="{00000000-0005-0000-0000-0000E00B0000}"/>
    <cellStyle name="표준 2 2 2 2 3" xfId="2951" xr:uid="{00000000-0005-0000-0000-0000E10B0000}"/>
    <cellStyle name="표준 2 2 2 2 4" xfId="2952" xr:uid="{00000000-0005-0000-0000-0000E20B0000}"/>
    <cellStyle name="표준 2 2 2 2 5" xfId="2953" xr:uid="{00000000-0005-0000-0000-0000E30B0000}"/>
    <cellStyle name="표준 2 2 2 2 6" xfId="2954" xr:uid="{00000000-0005-0000-0000-0000E40B0000}"/>
    <cellStyle name="표준 2 2 2 3" xfId="2955" xr:uid="{00000000-0005-0000-0000-0000E50B0000}"/>
    <cellStyle name="표준 2 2 2 4" xfId="2956" xr:uid="{00000000-0005-0000-0000-0000E60B0000}"/>
    <cellStyle name="표준 2 2 2 5" xfId="2957" xr:uid="{00000000-0005-0000-0000-0000E70B0000}"/>
    <cellStyle name="표준 2 2 2 6" xfId="2958" xr:uid="{00000000-0005-0000-0000-0000E80B0000}"/>
    <cellStyle name="표준 2 2 3" xfId="2959" xr:uid="{00000000-0005-0000-0000-0000E90B0000}"/>
    <cellStyle name="표준 2 2 4" xfId="2960" xr:uid="{00000000-0005-0000-0000-0000EA0B0000}"/>
    <cellStyle name="표준 2 2 5" xfId="2961" xr:uid="{00000000-0005-0000-0000-0000EB0B0000}"/>
    <cellStyle name="표준 2 2 6" xfId="2962" xr:uid="{00000000-0005-0000-0000-0000EC0B0000}"/>
    <cellStyle name="표준 2 2 7" xfId="2963" xr:uid="{00000000-0005-0000-0000-0000ED0B0000}"/>
    <cellStyle name="표준 2 20" xfId="2964" xr:uid="{00000000-0005-0000-0000-0000EE0B0000}"/>
    <cellStyle name="표준 2 21" xfId="2965" xr:uid="{00000000-0005-0000-0000-0000EF0B0000}"/>
    <cellStyle name="표준 2 22" xfId="2966" xr:uid="{00000000-0005-0000-0000-0000F00B0000}"/>
    <cellStyle name="표준 2 23" xfId="2967" xr:uid="{00000000-0005-0000-0000-0000F10B0000}"/>
    <cellStyle name="표준 2 24" xfId="2968" xr:uid="{00000000-0005-0000-0000-0000F20B0000}"/>
    <cellStyle name="표준 2 25" xfId="2969" xr:uid="{00000000-0005-0000-0000-0000F30B0000}"/>
    <cellStyle name="표준 2 26" xfId="2970" xr:uid="{00000000-0005-0000-0000-0000F40B0000}"/>
    <cellStyle name="표준 2 26 2" xfId="2971" xr:uid="{00000000-0005-0000-0000-0000F50B0000}"/>
    <cellStyle name="표준 2 27" xfId="2972" xr:uid="{00000000-0005-0000-0000-0000F60B0000}"/>
    <cellStyle name="표준 2 28" xfId="2916" xr:uid="{00000000-0005-0000-0000-0000F70B0000}"/>
    <cellStyle name="표준 2 3" xfId="2973" xr:uid="{00000000-0005-0000-0000-0000F80B0000}"/>
    <cellStyle name="표준 2 4" xfId="2974" xr:uid="{00000000-0005-0000-0000-0000F90B0000}"/>
    <cellStyle name="표준 2 5" xfId="2975" xr:uid="{00000000-0005-0000-0000-0000FA0B0000}"/>
    <cellStyle name="표준 2 6" xfId="2976" xr:uid="{00000000-0005-0000-0000-0000FB0B0000}"/>
    <cellStyle name="표준 2 7" xfId="2977" xr:uid="{00000000-0005-0000-0000-0000FC0B0000}"/>
    <cellStyle name="표준 2 8" xfId="2978" xr:uid="{00000000-0005-0000-0000-0000FD0B0000}"/>
    <cellStyle name="표준 2 8 10" xfId="2979" xr:uid="{00000000-0005-0000-0000-0000FE0B0000}"/>
    <cellStyle name="표준 2 8 11" xfId="2980" xr:uid="{00000000-0005-0000-0000-0000FF0B0000}"/>
    <cellStyle name="표준 2 8 12" xfId="2981" xr:uid="{00000000-0005-0000-0000-0000000C0000}"/>
    <cellStyle name="표준 2 8 13" xfId="2982" xr:uid="{00000000-0005-0000-0000-0000010C0000}"/>
    <cellStyle name="표준 2 8 13 2" xfId="2983" xr:uid="{00000000-0005-0000-0000-0000020C0000}"/>
    <cellStyle name="표준 2 8 14" xfId="2984" xr:uid="{00000000-0005-0000-0000-0000030C0000}"/>
    <cellStyle name="표준 2 8 15" xfId="2985" xr:uid="{00000000-0005-0000-0000-0000040C0000}"/>
    <cellStyle name="표준 2 8 16" xfId="2986" xr:uid="{00000000-0005-0000-0000-0000050C0000}"/>
    <cellStyle name="표준 2 8 17" xfId="2987" xr:uid="{00000000-0005-0000-0000-0000060C0000}"/>
    <cellStyle name="표준 2 8 18" xfId="2988" xr:uid="{00000000-0005-0000-0000-0000070C0000}"/>
    <cellStyle name="표준 2 8 19" xfId="2989" xr:uid="{00000000-0005-0000-0000-0000080C0000}"/>
    <cellStyle name="표준 2 8 2" xfId="2990" xr:uid="{00000000-0005-0000-0000-0000090C0000}"/>
    <cellStyle name="표준 2 8 2 10" xfId="2991" xr:uid="{00000000-0005-0000-0000-00000A0C0000}"/>
    <cellStyle name="표준 2 8 2 11" xfId="2992" xr:uid="{00000000-0005-0000-0000-00000B0C0000}"/>
    <cellStyle name="표준 2 8 2 12" xfId="2993" xr:uid="{00000000-0005-0000-0000-00000C0C0000}"/>
    <cellStyle name="표준 2 8 2 2" xfId="2994" xr:uid="{00000000-0005-0000-0000-00000D0C0000}"/>
    <cellStyle name="표준 2 8 2 2 2" xfId="2995" xr:uid="{00000000-0005-0000-0000-00000E0C0000}"/>
    <cellStyle name="표준 2 8 2 3" xfId="2996" xr:uid="{00000000-0005-0000-0000-00000F0C0000}"/>
    <cellStyle name="표준 2 8 2 4" xfId="2997" xr:uid="{00000000-0005-0000-0000-0000100C0000}"/>
    <cellStyle name="표준 2 8 2 5" xfId="2998" xr:uid="{00000000-0005-0000-0000-0000110C0000}"/>
    <cellStyle name="표준 2 8 2 6" xfId="2999" xr:uid="{00000000-0005-0000-0000-0000120C0000}"/>
    <cellStyle name="표준 2 8 2 7" xfId="3000" xr:uid="{00000000-0005-0000-0000-0000130C0000}"/>
    <cellStyle name="표준 2 8 2 8" xfId="3001" xr:uid="{00000000-0005-0000-0000-0000140C0000}"/>
    <cellStyle name="표준 2 8 2 9" xfId="3002" xr:uid="{00000000-0005-0000-0000-0000150C0000}"/>
    <cellStyle name="표준 2 8 20" xfId="3003" xr:uid="{00000000-0005-0000-0000-0000160C0000}"/>
    <cellStyle name="표준 2 8 21" xfId="3004" xr:uid="{00000000-0005-0000-0000-0000170C0000}"/>
    <cellStyle name="표준 2 8 22" xfId="3005" xr:uid="{00000000-0005-0000-0000-0000180C0000}"/>
    <cellStyle name="표준 2 8 3" xfId="3006" xr:uid="{00000000-0005-0000-0000-0000190C0000}"/>
    <cellStyle name="표준 2 8 4" xfId="3007" xr:uid="{00000000-0005-0000-0000-00001A0C0000}"/>
    <cellStyle name="표준 2 8 5" xfId="3008" xr:uid="{00000000-0005-0000-0000-00001B0C0000}"/>
    <cellStyle name="표준 2 8 6" xfId="3009" xr:uid="{00000000-0005-0000-0000-00001C0C0000}"/>
    <cellStyle name="표준 2 8 7" xfId="3010" xr:uid="{00000000-0005-0000-0000-00001D0C0000}"/>
    <cellStyle name="표준 2 8 8" xfId="3011" xr:uid="{00000000-0005-0000-0000-00001E0C0000}"/>
    <cellStyle name="표준 2 8 9" xfId="3012" xr:uid="{00000000-0005-0000-0000-00001F0C0000}"/>
    <cellStyle name="표준 2 9" xfId="3013" xr:uid="{00000000-0005-0000-0000-0000200C0000}"/>
    <cellStyle name="표준 2 9 2" xfId="3014" xr:uid="{00000000-0005-0000-0000-0000210C0000}"/>
    <cellStyle name="표준 2 9 2 2" xfId="3015" xr:uid="{00000000-0005-0000-0000-0000220C0000}"/>
    <cellStyle name="표준 2 9 2 3" xfId="3016" xr:uid="{00000000-0005-0000-0000-0000230C0000}"/>
    <cellStyle name="표준 2 9 2 4" xfId="3017" xr:uid="{00000000-0005-0000-0000-0000240C0000}"/>
    <cellStyle name="표준 2 9 3" xfId="3018" xr:uid="{00000000-0005-0000-0000-0000250C0000}"/>
    <cellStyle name="표준 2 9 4" xfId="3019" xr:uid="{00000000-0005-0000-0000-0000260C0000}"/>
    <cellStyle name="표준 20" xfId="3020" xr:uid="{00000000-0005-0000-0000-0000270C0000}"/>
    <cellStyle name="표준 20 2" xfId="3168" xr:uid="{00000000-0005-0000-0000-0000280C0000}"/>
    <cellStyle name="표준 21" xfId="3021" xr:uid="{00000000-0005-0000-0000-0000290C0000}"/>
    <cellStyle name="표준 21 2" xfId="3022" xr:uid="{00000000-0005-0000-0000-00002A0C0000}"/>
    <cellStyle name="표준 21 3" xfId="3023" xr:uid="{00000000-0005-0000-0000-00002B0C0000}"/>
    <cellStyle name="표준 21 4" xfId="3024" xr:uid="{00000000-0005-0000-0000-00002C0C0000}"/>
    <cellStyle name="표준 21 5" xfId="3169" xr:uid="{00000000-0005-0000-0000-00002D0C0000}"/>
    <cellStyle name="표준 22" xfId="3112" xr:uid="{00000000-0005-0000-0000-00002E0C0000}"/>
    <cellStyle name="표준 22 2" xfId="3178" xr:uid="{00000000-0005-0000-0000-00002F0C0000}"/>
    <cellStyle name="표준 22 2 2" xfId="3192" xr:uid="{00000000-0005-0000-0000-0000300C0000}"/>
    <cellStyle name="표준 22 2 2 2" xfId="3213" xr:uid="{00000000-0005-0000-0000-0000310C0000}"/>
    <cellStyle name="표준 22 2 2 2 2" xfId="3273" xr:uid="{00000000-0005-0000-0000-0000320C0000}"/>
    <cellStyle name="표준 22 2 2 2 2 2" xfId="3385" xr:uid="{00000000-0005-0000-0000-0000330C0000}"/>
    <cellStyle name="표준 22 2 2 2 2 2 2" xfId="3714" xr:uid="{00000000-0005-0000-0000-0000340C0000}"/>
    <cellStyle name="표준 22 2 2 2 2 3" xfId="3494" xr:uid="{00000000-0005-0000-0000-0000350C0000}"/>
    <cellStyle name="표준 22 2 2 2 2 3 2" xfId="3823" xr:uid="{00000000-0005-0000-0000-0000360C0000}"/>
    <cellStyle name="표준 22 2 2 2 2 4" xfId="3606" xr:uid="{00000000-0005-0000-0000-0000370C0000}"/>
    <cellStyle name="표준 22 2 2 2 3" xfId="3331" xr:uid="{00000000-0005-0000-0000-0000380C0000}"/>
    <cellStyle name="표준 22 2 2 2 3 2" xfId="3660" xr:uid="{00000000-0005-0000-0000-0000390C0000}"/>
    <cellStyle name="표준 22 2 2 2 4" xfId="3440" xr:uid="{00000000-0005-0000-0000-00003A0C0000}"/>
    <cellStyle name="표준 22 2 2 2 4 2" xfId="3769" xr:uid="{00000000-0005-0000-0000-00003B0C0000}"/>
    <cellStyle name="표준 22 2 2 2 5" xfId="3552" xr:uid="{00000000-0005-0000-0000-00003C0C0000}"/>
    <cellStyle name="표준 22 2 2 3" xfId="3235" xr:uid="{00000000-0005-0000-0000-00003D0C0000}"/>
    <cellStyle name="표준 22 2 2 3 2" xfId="3293" xr:uid="{00000000-0005-0000-0000-00003E0C0000}"/>
    <cellStyle name="표준 22 2 2 3 2 2" xfId="3405" xr:uid="{00000000-0005-0000-0000-00003F0C0000}"/>
    <cellStyle name="표준 22 2 2 3 2 2 2" xfId="3734" xr:uid="{00000000-0005-0000-0000-0000400C0000}"/>
    <cellStyle name="표준 22 2 2 3 2 3" xfId="3514" xr:uid="{00000000-0005-0000-0000-0000410C0000}"/>
    <cellStyle name="표준 22 2 2 3 2 3 2" xfId="3843" xr:uid="{00000000-0005-0000-0000-0000420C0000}"/>
    <cellStyle name="표준 22 2 2 3 2 4" xfId="3626" xr:uid="{00000000-0005-0000-0000-0000430C0000}"/>
    <cellStyle name="표준 22 2 2 3 3" xfId="3351" xr:uid="{00000000-0005-0000-0000-0000440C0000}"/>
    <cellStyle name="표준 22 2 2 3 3 2" xfId="3680" xr:uid="{00000000-0005-0000-0000-0000450C0000}"/>
    <cellStyle name="표준 22 2 2 3 4" xfId="3460" xr:uid="{00000000-0005-0000-0000-0000460C0000}"/>
    <cellStyle name="표준 22 2 2 3 4 2" xfId="3789" xr:uid="{00000000-0005-0000-0000-0000470C0000}"/>
    <cellStyle name="표준 22 2 2 3 5" xfId="3572" xr:uid="{00000000-0005-0000-0000-0000480C0000}"/>
    <cellStyle name="표준 22 2 2 4" xfId="3256" xr:uid="{00000000-0005-0000-0000-0000490C0000}"/>
    <cellStyle name="표준 22 2 2 4 2" xfId="3368" xr:uid="{00000000-0005-0000-0000-00004A0C0000}"/>
    <cellStyle name="표준 22 2 2 4 2 2" xfId="3697" xr:uid="{00000000-0005-0000-0000-00004B0C0000}"/>
    <cellStyle name="표준 22 2 2 4 3" xfId="3477" xr:uid="{00000000-0005-0000-0000-00004C0C0000}"/>
    <cellStyle name="표준 22 2 2 4 3 2" xfId="3806" xr:uid="{00000000-0005-0000-0000-00004D0C0000}"/>
    <cellStyle name="표준 22 2 2 4 4" xfId="3589" xr:uid="{00000000-0005-0000-0000-00004E0C0000}"/>
    <cellStyle name="표준 22 2 2 5" xfId="3314" xr:uid="{00000000-0005-0000-0000-00004F0C0000}"/>
    <cellStyle name="표준 22 2 2 5 2" xfId="3643" xr:uid="{00000000-0005-0000-0000-0000500C0000}"/>
    <cellStyle name="표준 22 2 2 6" xfId="3423" xr:uid="{00000000-0005-0000-0000-0000510C0000}"/>
    <cellStyle name="표준 22 2 2 6 2" xfId="3752" xr:uid="{00000000-0005-0000-0000-0000520C0000}"/>
    <cellStyle name="표준 22 2 2 7" xfId="3535" xr:uid="{00000000-0005-0000-0000-0000530C0000}"/>
    <cellStyle name="표준 22 2 3" xfId="3203" xr:uid="{00000000-0005-0000-0000-0000540C0000}"/>
    <cellStyle name="표준 22 2 3 2" xfId="3263" xr:uid="{00000000-0005-0000-0000-0000550C0000}"/>
    <cellStyle name="표준 22 2 3 2 2" xfId="3375" xr:uid="{00000000-0005-0000-0000-0000560C0000}"/>
    <cellStyle name="표준 22 2 3 2 2 2" xfId="3704" xr:uid="{00000000-0005-0000-0000-0000570C0000}"/>
    <cellStyle name="표준 22 2 3 2 3" xfId="3484" xr:uid="{00000000-0005-0000-0000-0000580C0000}"/>
    <cellStyle name="표준 22 2 3 2 3 2" xfId="3813" xr:uid="{00000000-0005-0000-0000-0000590C0000}"/>
    <cellStyle name="표준 22 2 3 2 4" xfId="3596" xr:uid="{00000000-0005-0000-0000-00005A0C0000}"/>
    <cellStyle name="표준 22 2 3 3" xfId="3321" xr:uid="{00000000-0005-0000-0000-00005B0C0000}"/>
    <cellStyle name="표준 22 2 3 3 2" xfId="3650" xr:uid="{00000000-0005-0000-0000-00005C0C0000}"/>
    <cellStyle name="표준 22 2 3 4" xfId="3430" xr:uid="{00000000-0005-0000-0000-00005D0C0000}"/>
    <cellStyle name="표준 22 2 3 4 2" xfId="3759" xr:uid="{00000000-0005-0000-0000-00005E0C0000}"/>
    <cellStyle name="표준 22 2 3 5" xfId="3542" xr:uid="{00000000-0005-0000-0000-00005F0C0000}"/>
    <cellStyle name="표준 22 2 4" xfId="3225" xr:uid="{00000000-0005-0000-0000-0000600C0000}"/>
    <cellStyle name="표준 22 2 4 2" xfId="3283" xr:uid="{00000000-0005-0000-0000-0000610C0000}"/>
    <cellStyle name="표준 22 2 4 2 2" xfId="3395" xr:uid="{00000000-0005-0000-0000-0000620C0000}"/>
    <cellStyle name="표준 22 2 4 2 2 2" xfId="3724" xr:uid="{00000000-0005-0000-0000-0000630C0000}"/>
    <cellStyle name="표준 22 2 4 2 3" xfId="3504" xr:uid="{00000000-0005-0000-0000-0000640C0000}"/>
    <cellStyle name="표준 22 2 4 2 3 2" xfId="3833" xr:uid="{00000000-0005-0000-0000-0000650C0000}"/>
    <cellStyle name="표준 22 2 4 2 4" xfId="3616" xr:uid="{00000000-0005-0000-0000-0000660C0000}"/>
    <cellStyle name="표준 22 2 4 3" xfId="3341" xr:uid="{00000000-0005-0000-0000-0000670C0000}"/>
    <cellStyle name="표준 22 2 4 3 2" xfId="3670" xr:uid="{00000000-0005-0000-0000-0000680C0000}"/>
    <cellStyle name="표준 22 2 4 4" xfId="3450" xr:uid="{00000000-0005-0000-0000-0000690C0000}"/>
    <cellStyle name="표준 22 2 4 4 2" xfId="3779" xr:uid="{00000000-0005-0000-0000-00006A0C0000}"/>
    <cellStyle name="표준 22 2 4 5" xfId="3562" xr:uid="{00000000-0005-0000-0000-00006B0C0000}"/>
    <cellStyle name="표준 22 2 5" xfId="3246" xr:uid="{00000000-0005-0000-0000-00006C0C0000}"/>
    <cellStyle name="표준 22 2 5 2" xfId="3358" xr:uid="{00000000-0005-0000-0000-00006D0C0000}"/>
    <cellStyle name="표준 22 2 5 2 2" xfId="3687" xr:uid="{00000000-0005-0000-0000-00006E0C0000}"/>
    <cellStyle name="표준 22 2 5 3" xfId="3467" xr:uid="{00000000-0005-0000-0000-00006F0C0000}"/>
    <cellStyle name="표준 22 2 5 3 2" xfId="3796" xr:uid="{00000000-0005-0000-0000-0000700C0000}"/>
    <cellStyle name="표준 22 2 5 4" xfId="3579" xr:uid="{00000000-0005-0000-0000-0000710C0000}"/>
    <cellStyle name="표준 22 2 6" xfId="3304" xr:uid="{00000000-0005-0000-0000-0000720C0000}"/>
    <cellStyle name="표준 22 2 6 2" xfId="3633" xr:uid="{00000000-0005-0000-0000-0000730C0000}"/>
    <cellStyle name="표준 22 2 7" xfId="3413" xr:uid="{00000000-0005-0000-0000-0000740C0000}"/>
    <cellStyle name="표준 22 2 7 2" xfId="3742" xr:uid="{00000000-0005-0000-0000-0000750C0000}"/>
    <cellStyle name="표준 22 2 8" xfId="3525" xr:uid="{00000000-0005-0000-0000-0000760C0000}"/>
    <cellStyle name="표준 22 3" xfId="3188" xr:uid="{00000000-0005-0000-0000-0000770C0000}"/>
    <cellStyle name="표준 22 3 2" xfId="3209" xr:uid="{00000000-0005-0000-0000-0000780C0000}"/>
    <cellStyle name="표준 22 3 2 2" xfId="3269" xr:uid="{00000000-0005-0000-0000-0000790C0000}"/>
    <cellStyle name="표준 22 3 2 2 2" xfId="3381" xr:uid="{00000000-0005-0000-0000-00007A0C0000}"/>
    <cellStyle name="표준 22 3 2 2 2 2" xfId="3710" xr:uid="{00000000-0005-0000-0000-00007B0C0000}"/>
    <cellStyle name="표준 22 3 2 2 3" xfId="3490" xr:uid="{00000000-0005-0000-0000-00007C0C0000}"/>
    <cellStyle name="표준 22 3 2 2 3 2" xfId="3819" xr:uid="{00000000-0005-0000-0000-00007D0C0000}"/>
    <cellStyle name="표준 22 3 2 2 4" xfId="3602" xr:uid="{00000000-0005-0000-0000-00007E0C0000}"/>
    <cellStyle name="표준 22 3 2 3" xfId="3327" xr:uid="{00000000-0005-0000-0000-00007F0C0000}"/>
    <cellStyle name="표준 22 3 2 3 2" xfId="3656" xr:uid="{00000000-0005-0000-0000-0000800C0000}"/>
    <cellStyle name="표준 22 3 2 4" xfId="3436" xr:uid="{00000000-0005-0000-0000-0000810C0000}"/>
    <cellStyle name="표준 22 3 2 4 2" xfId="3765" xr:uid="{00000000-0005-0000-0000-0000820C0000}"/>
    <cellStyle name="표준 22 3 2 5" xfId="3548" xr:uid="{00000000-0005-0000-0000-0000830C0000}"/>
    <cellStyle name="표준 22 3 3" xfId="3231" xr:uid="{00000000-0005-0000-0000-0000840C0000}"/>
    <cellStyle name="표준 22 3 3 2" xfId="3289" xr:uid="{00000000-0005-0000-0000-0000850C0000}"/>
    <cellStyle name="표준 22 3 3 2 2" xfId="3401" xr:uid="{00000000-0005-0000-0000-0000860C0000}"/>
    <cellStyle name="표준 22 3 3 2 2 2" xfId="3730" xr:uid="{00000000-0005-0000-0000-0000870C0000}"/>
    <cellStyle name="표준 22 3 3 2 3" xfId="3510" xr:uid="{00000000-0005-0000-0000-0000880C0000}"/>
    <cellStyle name="표준 22 3 3 2 3 2" xfId="3839" xr:uid="{00000000-0005-0000-0000-0000890C0000}"/>
    <cellStyle name="표준 22 3 3 2 4" xfId="3622" xr:uid="{00000000-0005-0000-0000-00008A0C0000}"/>
    <cellStyle name="표준 22 3 3 3" xfId="3347" xr:uid="{00000000-0005-0000-0000-00008B0C0000}"/>
    <cellStyle name="표준 22 3 3 3 2" xfId="3676" xr:uid="{00000000-0005-0000-0000-00008C0C0000}"/>
    <cellStyle name="표준 22 3 3 4" xfId="3456" xr:uid="{00000000-0005-0000-0000-00008D0C0000}"/>
    <cellStyle name="표준 22 3 3 4 2" xfId="3785" xr:uid="{00000000-0005-0000-0000-00008E0C0000}"/>
    <cellStyle name="표준 22 3 3 5" xfId="3568" xr:uid="{00000000-0005-0000-0000-00008F0C0000}"/>
    <cellStyle name="표준 22 3 4" xfId="3252" xr:uid="{00000000-0005-0000-0000-0000900C0000}"/>
    <cellStyle name="표준 22 3 4 2" xfId="3364" xr:uid="{00000000-0005-0000-0000-0000910C0000}"/>
    <cellStyle name="표준 22 3 4 2 2" xfId="3693" xr:uid="{00000000-0005-0000-0000-0000920C0000}"/>
    <cellStyle name="표준 22 3 4 3" xfId="3473" xr:uid="{00000000-0005-0000-0000-0000930C0000}"/>
    <cellStyle name="표준 22 3 4 3 2" xfId="3802" xr:uid="{00000000-0005-0000-0000-0000940C0000}"/>
    <cellStyle name="표준 22 3 4 4" xfId="3585" xr:uid="{00000000-0005-0000-0000-0000950C0000}"/>
    <cellStyle name="표준 22 3 5" xfId="3310" xr:uid="{00000000-0005-0000-0000-0000960C0000}"/>
    <cellStyle name="표준 22 3 5 2" xfId="3639" xr:uid="{00000000-0005-0000-0000-0000970C0000}"/>
    <cellStyle name="표준 22 3 6" xfId="3419" xr:uid="{00000000-0005-0000-0000-0000980C0000}"/>
    <cellStyle name="표준 22 3 6 2" xfId="3748" xr:uid="{00000000-0005-0000-0000-0000990C0000}"/>
    <cellStyle name="표준 22 3 7" xfId="3531" xr:uid="{00000000-0005-0000-0000-00009A0C0000}"/>
    <cellStyle name="표준 22 4" xfId="3199" xr:uid="{00000000-0005-0000-0000-00009B0C0000}"/>
    <cellStyle name="표준 22 4 2" xfId="3259" xr:uid="{00000000-0005-0000-0000-00009C0C0000}"/>
    <cellStyle name="표준 22 4 2 2" xfId="3371" xr:uid="{00000000-0005-0000-0000-00009D0C0000}"/>
    <cellStyle name="표준 22 4 2 2 2" xfId="3700" xr:uid="{00000000-0005-0000-0000-00009E0C0000}"/>
    <cellStyle name="표준 22 4 2 3" xfId="3480" xr:uid="{00000000-0005-0000-0000-00009F0C0000}"/>
    <cellStyle name="표준 22 4 2 3 2" xfId="3809" xr:uid="{00000000-0005-0000-0000-0000A00C0000}"/>
    <cellStyle name="표준 22 4 2 4" xfId="3592" xr:uid="{00000000-0005-0000-0000-0000A10C0000}"/>
    <cellStyle name="표준 22 4 3" xfId="3317" xr:uid="{00000000-0005-0000-0000-0000A20C0000}"/>
    <cellStyle name="표준 22 4 3 2" xfId="3646" xr:uid="{00000000-0005-0000-0000-0000A30C0000}"/>
    <cellStyle name="표준 22 4 4" xfId="3426" xr:uid="{00000000-0005-0000-0000-0000A40C0000}"/>
    <cellStyle name="표준 22 4 4 2" xfId="3755" xr:uid="{00000000-0005-0000-0000-0000A50C0000}"/>
    <cellStyle name="표준 22 4 5" xfId="3538" xr:uid="{00000000-0005-0000-0000-0000A60C0000}"/>
    <cellStyle name="표준 22 5" xfId="3221" xr:uid="{00000000-0005-0000-0000-0000A70C0000}"/>
    <cellStyle name="표준 22 5 2" xfId="3279" xr:uid="{00000000-0005-0000-0000-0000A80C0000}"/>
    <cellStyle name="표준 22 5 2 2" xfId="3391" xr:uid="{00000000-0005-0000-0000-0000A90C0000}"/>
    <cellStyle name="표준 22 5 2 2 2" xfId="3720" xr:uid="{00000000-0005-0000-0000-0000AA0C0000}"/>
    <cellStyle name="표준 22 5 2 3" xfId="3500" xr:uid="{00000000-0005-0000-0000-0000AB0C0000}"/>
    <cellStyle name="표준 22 5 2 3 2" xfId="3829" xr:uid="{00000000-0005-0000-0000-0000AC0C0000}"/>
    <cellStyle name="표준 22 5 2 4" xfId="3612" xr:uid="{00000000-0005-0000-0000-0000AD0C0000}"/>
    <cellStyle name="표준 22 5 3" xfId="3337" xr:uid="{00000000-0005-0000-0000-0000AE0C0000}"/>
    <cellStyle name="표준 22 5 3 2" xfId="3666" xr:uid="{00000000-0005-0000-0000-0000AF0C0000}"/>
    <cellStyle name="표준 22 5 4" xfId="3446" xr:uid="{00000000-0005-0000-0000-0000B00C0000}"/>
    <cellStyle name="표준 22 5 4 2" xfId="3775" xr:uid="{00000000-0005-0000-0000-0000B10C0000}"/>
    <cellStyle name="표준 22 5 5" xfId="3558" xr:uid="{00000000-0005-0000-0000-0000B20C0000}"/>
    <cellStyle name="표준 22 6" xfId="3242" xr:uid="{00000000-0005-0000-0000-0000B30C0000}"/>
    <cellStyle name="표준 22 6 2" xfId="3354" xr:uid="{00000000-0005-0000-0000-0000B40C0000}"/>
    <cellStyle name="표준 22 6 2 2" xfId="3683" xr:uid="{00000000-0005-0000-0000-0000B50C0000}"/>
    <cellStyle name="표준 22 6 3" xfId="3463" xr:uid="{00000000-0005-0000-0000-0000B60C0000}"/>
    <cellStyle name="표준 22 6 3 2" xfId="3792" xr:uid="{00000000-0005-0000-0000-0000B70C0000}"/>
    <cellStyle name="표준 22 6 4" xfId="3575" xr:uid="{00000000-0005-0000-0000-0000B80C0000}"/>
    <cellStyle name="표준 22 7" xfId="3300" xr:uid="{00000000-0005-0000-0000-0000B90C0000}"/>
    <cellStyle name="표준 22 7 2" xfId="3629" xr:uid="{00000000-0005-0000-0000-0000BA0C0000}"/>
    <cellStyle name="표준 22 8" xfId="3409" xr:uid="{00000000-0005-0000-0000-0000BB0C0000}"/>
    <cellStyle name="표준 22 8 2" xfId="3738" xr:uid="{00000000-0005-0000-0000-0000BC0C0000}"/>
    <cellStyle name="표준 22 9" xfId="3521" xr:uid="{00000000-0005-0000-0000-0000BD0C0000}"/>
    <cellStyle name="표준 23" xfId="3025" xr:uid="{00000000-0005-0000-0000-0000BE0C0000}"/>
    <cellStyle name="표준 24" xfId="3026" xr:uid="{00000000-0005-0000-0000-0000BF0C0000}"/>
    <cellStyle name="표준 25" xfId="3027" xr:uid="{00000000-0005-0000-0000-0000C00C0000}"/>
    <cellStyle name="표준 26" xfId="3028" xr:uid="{00000000-0005-0000-0000-0000C10C0000}"/>
    <cellStyle name="표준 27" xfId="3029" xr:uid="{00000000-0005-0000-0000-0000C20C0000}"/>
    <cellStyle name="표준 28" xfId="3030" xr:uid="{00000000-0005-0000-0000-0000C30C0000}"/>
    <cellStyle name="표준 29" xfId="3031" xr:uid="{00000000-0005-0000-0000-0000C40C0000}"/>
    <cellStyle name="표준 3" xfId="3032" xr:uid="{00000000-0005-0000-0000-0000C50C0000}"/>
    <cellStyle name="표준 3 2" xfId="5" xr:uid="{00000000-0005-0000-0000-0000C60C0000}"/>
    <cellStyle name="표준 3 3" xfId="3033" xr:uid="{00000000-0005-0000-0000-0000C70C0000}"/>
    <cellStyle name="표준 3 4" xfId="3034" xr:uid="{00000000-0005-0000-0000-0000C80C0000}"/>
    <cellStyle name="표준 3 5" xfId="3035" xr:uid="{00000000-0005-0000-0000-0000C90C0000}"/>
    <cellStyle name="표준 3 6" xfId="3036" xr:uid="{00000000-0005-0000-0000-0000CA0C0000}"/>
    <cellStyle name="표준 3 7" xfId="3037" xr:uid="{00000000-0005-0000-0000-0000CB0C0000}"/>
    <cellStyle name="표준 3 8" xfId="3038" xr:uid="{00000000-0005-0000-0000-0000CC0C0000}"/>
    <cellStyle name="표준 3 9" xfId="3039" xr:uid="{00000000-0005-0000-0000-0000CD0C0000}"/>
    <cellStyle name="표준 30" xfId="3040" xr:uid="{00000000-0005-0000-0000-0000CE0C0000}"/>
    <cellStyle name="표준 30 10" xfId="3041" xr:uid="{00000000-0005-0000-0000-0000CF0C0000}"/>
    <cellStyle name="표준 30 11" xfId="3042" xr:uid="{00000000-0005-0000-0000-0000D00C0000}"/>
    <cellStyle name="표준 30 12" xfId="3043" xr:uid="{00000000-0005-0000-0000-0000D10C0000}"/>
    <cellStyle name="표준 30 2" xfId="3044" xr:uid="{00000000-0005-0000-0000-0000D20C0000}"/>
    <cellStyle name="표준 30 3" xfId="3045" xr:uid="{00000000-0005-0000-0000-0000D30C0000}"/>
    <cellStyle name="표준 30 4" xfId="3046" xr:uid="{00000000-0005-0000-0000-0000D40C0000}"/>
    <cellStyle name="표준 30 5" xfId="3047" xr:uid="{00000000-0005-0000-0000-0000D50C0000}"/>
    <cellStyle name="표준 30 6" xfId="3048" xr:uid="{00000000-0005-0000-0000-0000D60C0000}"/>
    <cellStyle name="표준 30 7" xfId="3049" xr:uid="{00000000-0005-0000-0000-0000D70C0000}"/>
    <cellStyle name="표준 30 8" xfId="3050" xr:uid="{00000000-0005-0000-0000-0000D80C0000}"/>
    <cellStyle name="표준 30 9" xfId="3051" xr:uid="{00000000-0005-0000-0000-0000D90C0000}"/>
    <cellStyle name="표준 31" xfId="3052" xr:uid="{00000000-0005-0000-0000-0000DA0C0000}"/>
    <cellStyle name="표준 32" xfId="3053" xr:uid="{00000000-0005-0000-0000-0000DB0C0000}"/>
    <cellStyle name="표준 33" xfId="3054" xr:uid="{00000000-0005-0000-0000-0000DC0C0000}"/>
    <cellStyle name="표준 34" xfId="3055" xr:uid="{00000000-0005-0000-0000-0000DD0C0000}"/>
    <cellStyle name="표준 35" xfId="3056" xr:uid="{00000000-0005-0000-0000-0000DE0C0000}"/>
    <cellStyle name="표준 36" xfId="3057" xr:uid="{00000000-0005-0000-0000-0000DF0C0000}"/>
    <cellStyle name="표준 37" xfId="3058" xr:uid="{00000000-0005-0000-0000-0000E00C0000}"/>
    <cellStyle name="표준 38" xfId="3059" xr:uid="{00000000-0005-0000-0000-0000E10C0000}"/>
    <cellStyle name="표준 39" xfId="3060" xr:uid="{00000000-0005-0000-0000-0000E20C0000}"/>
    <cellStyle name="표준 4" xfId="3061" xr:uid="{00000000-0005-0000-0000-0000E30C0000}"/>
    <cellStyle name="표준 4 2" xfId="6" xr:uid="{00000000-0005-0000-0000-0000E40C0000}"/>
    <cellStyle name="표준 4 3" xfId="3062" xr:uid="{00000000-0005-0000-0000-0000E50C0000}"/>
    <cellStyle name="표준 4 4" xfId="3063" xr:uid="{00000000-0005-0000-0000-0000E60C0000}"/>
    <cellStyle name="표준 4 5" xfId="3064" xr:uid="{00000000-0005-0000-0000-0000E70C0000}"/>
    <cellStyle name="표준 4 6" xfId="3065" xr:uid="{00000000-0005-0000-0000-0000E80C0000}"/>
    <cellStyle name="표준 4 7" xfId="3066" xr:uid="{00000000-0005-0000-0000-0000E90C0000}"/>
    <cellStyle name="표준 40" xfId="3067" xr:uid="{00000000-0005-0000-0000-0000EA0C0000}"/>
    <cellStyle name="표준 41" xfId="3120" xr:uid="{00000000-0005-0000-0000-0000EB0C0000}"/>
    <cellStyle name="표준 42" xfId="3122" xr:uid="{00000000-0005-0000-0000-0000EC0C0000}"/>
    <cellStyle name="표준 43" xfId="3068" xr:uid="{00000000-0005-0000-0000-0000ED0C0000}"/>
    <cellStyle name="표준 44" xfId="3069" xr:uid="{00000000-0005-0000-0000-0000EE0C0000}"/>
    <cellStyle name="표준 45" xfId="3070" xr:uid="{00000000-0005-0000-0000-0000EF0C0000}"/>
    <cellStyle name="표준 46" xfId="3123" xr:uid="{00000000-0005-0000-0000-0000F00C0000}"/>
    <cellStyle name="표준 46 2" xfId="3179" xr:uid="{00000000-0005-0000-0000-0000F10C0000}"/>
    <cellStyle name="표준 46 2 2" xfId="3193" xr:uid="{00000000-0005-0000-0000-0000F20C0000}"/>
    <cellStyle name="표준 46 2 2 2" xfId="3214" xr:uid="{00000000-0005-0000-0000-0000F30C0000}"/>
    <cellStyle name="표준 46 2 2 2 2" xfId="3274" xr:uid="{00000000-0005-0000-0000-0000F40C0000}"/>
    <cellStyle name="표준 46 2 2 2 2 2" xfId="3386" xr:uid="{00000000-0005-0000-0000-0000F50C0000}"/>
    <cellStyle name="표준 46 2 2 2 2 2 2" xfId="3715" xr:uid="{00000000-0005-0000-0000-0000F60C0000}"/>
    <cellStyle name="표준 46 2 2 2 2 3" xfId="3495" xr:uid="{00000000-0005-0000-0000-0000F70C0000}"/>
    <cellStyle name="표준 46 2 2 2 2 3 2" xfId="3824" xr:uid="{00000000-0005-0000-0000-0000F80C0000}"/>
    <cellStyle name="표준 46 2 2 2 2 4" xfId="3607" xr:uid="{00000000-0005-0000-0000-0000F90C0000}"/>
    <cellStyle name="표준 46 2 2 2 3" xfId="3332" xr:uid="{00000000-0005-0000-0000-0000FA0C0000}"/>
    <cellStyle name="표준 46 2 2 2 3 2" xfId="3661" xr:uid="{00000000-0005-0000-0000-0000FB0C0000}"/>
    <cellStyle name="표준 46 2 2 2 4" xfId="3441" xr:uid="{00000000-0005-0000-0000-0000FC0C0000}"/>
    <cellStyle name="표준 46 2 2 2 4 2" xfId="3770" xr:uid="{00000000-0005-0000-0000-0000FD0C0000}"/>
    <cellStyle name="표준 46 2 2 2 5" xfId="3553" xr:uid="{00000000-0005-0000-0000-0000FE0C0000}"/>
    <cellStyle name="표준 46 2 2 3" xfId="3236" xr:uid="{00000000-0005-0000-0000-0000FF0C0000}"/>
    <cellStyle name="표준 46 2 2 3 2" xfId="3294" xr:uid="{00000000-0005-0000-0000-0000000D0000}"/>
    <cellStyle name="표준 46 2 2 3 2 2" xfId="3406" xr:uid="{00000000-0005-0000-0000-0000010D0000}"/>
    <cellStyle name="표준 46 2 2 3 2 2 2" xfId="3735" xr:uid="{00000000-0005-0000-0000-0000020D0000}"/>
    <cellStyle name="표준 46 2 2 3 2 3" xfId="3515" xr:uid="{00000000-0005-0000-0000-0000030D0000}"/>
    <cellStyle name="표준 46 2 2 3 2 3 2" xfId="3844" xr:uid="{00000000-0005-0000-0000-0000040D0000}"/>
    <cellStyle name="표준 46 2 2 3 2 4" xfId="3627" xr:uid="{00000000-0005-0000-0000-0000050D0000}"/>
    <cellStyle name="표준 46 2 2 3 3" xfId="3352" xr:uid="{00000000-0005-0000-0000-0000060D0000}"/>
    <cellStyle name="표준 46 2 2 3 3 2" xfId="3681" xr:uid="{00000000-0005-0000-0000-0000070D0000}"/>
    <cellStyle name="표준 46 2 2 3 4" xfId="3461" xr:uid="{00000000-0005-0000-0000-0000080D0000}"/>
    <cellStyle name="표준 46 2 2 3 4 2" xfId="3790" xr:uid="{00000000-0005-0000-0000-0000090D0000}"/>
    <cellStyle name="표준 46 2 2 3 5" xfId="3573" xr:uid="{00000000-0005-0000-0000-00000A0D0000}"/>
    <cellStyle name="표준 46 2 2 4" xfId="3257" xr:uid="{00000000-0005-0000-0000-00000B0D0000}"/>
    <cellStyle name="표준 46 2 2 4 2" xfId="3369" xr:uid="{00000000-0005-0000-0000-00000C0D0000}"/>
    <cellStyle name="표준 46 2 2 4 2 2" xfId="3698" xr:uid="{00000000-0005-0000-0000-00000D0D0000}"/>
    <cellStyle name="표준 46 2 2 4 3" xfId="3478" xr:uid="{00000000-0005-0000-0000-00000E0D0000}"/>
    <cellStyle name="표준 46 2 2 4 3 2" xfId="3807" xr:uid="{00000000-0005-0000-0000-00000F0D0000}"/>
    <cellStyle name="표준 46 2 2 4 4" xfId="3590" xr:uid="{00000000-0005-0000-0000-0000100D0000}"/>
    <cellStyle name="표준 46 2 2 5" xfId="3315" xr:uid="{00000000-0005-0000-0000-0000110D0000}"/>
    <cellStyle name="표준 46 2 2 5 2" xfId="3644" xr:uid="{00000000-0005-0000-0000-0000120D0000}"/>
    <cellStyle name="표준 46 2 2 6" xfId="3424" xr:uid="{00000000-0005-0000-0000-0000130D0000}"/>
    <cellStyle name="표준 46 2 2 6 2" xfId="3753" xr:uid="{00000000-0005-0000-0000-0000140D0000}"/>
    <cellStyle name="표준 46 2 2 7" xfId="3536" xr:uid="{00000000-0005-0000-0000-0000150D0000}"/>
    <cellStyle name="표준 46 2 3" xfId="3204" xr:uid="{00000000-0005-0000-0000-0000160D0000}"/>
    <cellStyle name="표준 46 2 3 2" xfId="3264" xr:uid="{00000000-0005-0000-0000-0000170D0000}"/>
    <cellStyle name="표준 46 2 3 2 2" xfId="3376" xr:uid="{00000000-0005-0000-0000-0000180D0000}"/>
    <cellStyle name="표준 46 2 3 2 2 2" xfId="3705" xr:uid="{00000000-0005-0000-0000-0000190D0000}"/>
    <cellStyle name="표준 46 2 3 2 3" xfId="3485" xr:uid="{00000000-0005-0000-0000-00001A0D0000}"/>
    <cellStyle name="표준 46 2 3 2 3 2" xfId="3814" xr:uid="{00000000-0005-0000-0000-00001B0D0000}"/>
    <cellStyle name="표준 46 2 3 2 4" xfId="3597" xr:uid="{00000000-0005-0000-0000-00001C0D0000}"/>
    <cellStyle name="표준 46 2 3 3" xfId="3322" xr:uid="{00000000-0005-0000-0000-00001D0D0000}"/>
    <cellStyle name="표준 46 2 3 3 2" xfId="3651" xr:uid="{00000000-0005-0000-0000-00001E0D0000}"/>
    <cellStyle name="표준 46 2 3 4" xfId="3431" xr:uid="{00000000-0005-0000-0000-00001F0D0000}"/>
    <cellStyle name="표준 46 2 3 4 2" xfId="3760" xr:uid="{00000000-0005-0000-0000-0000200D0000}"/>
    <cellStyle name="표준 46 2 3 5" xfId="3543" xr:uid="{00000000-0005-0000-0000-0000210D0000}"/>
    <cellStyle name="표준 46 2 4" xfId="3226" xr:uid="{00000000-0005-0000-0000-0000220D0000}"/>
    <cellStyle name="표준 46 2 4 2" xfId="3284" xr:uid="{00000000-0005-0000-0000-0000230D0000}"/>
    <cellStyle name="표준 46 2 4 2 2" xfId="3396" xr:uid="{00000000-0005-0000-0000-0000240D0000}"/>
    <cellStyle name="표준 46 2 4 2 2 2" xfId="3725" xr:uid="{00000000-0005-0000-0000-0000250D0000}"/>
    <cellStyle name="표준 46 2 4 2 3" xfId="3505" xr:uid="{00000000-0005-0000-0000-0000260D0000}"/>
    <cellStyle name="표준 46 2 4 2 3 2" xfId="3834" xr:uid="{00000000-0005-0000-0000-0000270D0000}"/>
    <cellStyle name="표준 46 2 4 2 4" xfId="3617" xr:uid="{00000000-0005-0000-0000-0000280D0000}"/>
    <cellStyle name="표준 46 2 4 3" xfId="3342" xr:uid="{00000000-0005-0000-0000-0000290D0000}"/>
    <cellStyle name="표준 46 2 4 3 2" xfId="3671" xr:uid="{00000000-0005-0000-0000-00002A0D0000}"/>
    <cellStyle name="표준 46 2 4 4" xfId="3451" xr:uid="{00000000-0005-0000-0000-00002B0D0000}"/>
    <cellStyle name="표준 46 2 4 4 2" xfId="3780" xr:uid="{00000000-0005-0000-0000-00002C0D0000}"/>
    <cellStyle name="표준 46 2 4 5" xfId="3563" xr:uid="{00000000-0005-0000-0000-00002D0D0000}"/>
    <cellStyle name="표준 46 2 5" xfId="3247" xr:uid="{00000000-0005-0000-0000-00002E0D0000}"/>
    <cellStyle name="표준 46 2 5 2" xfId="3359" xr:uid="{00000000-0005-0000-0000-00002F0D0000}"/>
    <cellStyle name="표준 46 2 5 2 2" xfId="3688" xr:uid="{00000000-0005-0000-0000-0000300D0000}"/>
    <cellStyle name="표준 46 2 5 3" xfId="3468" xr:uid="{00000000-0005-0000-0000-0000310D0000}"/>
    <cellStyle name="표준 46 2 5 3 2" xfId="3797" xr:uid="{00000000-0005-0000-0000-0000320D0000}"/>
    <cellStyle name="표준 46 2 5 4" xfId="3580" xr:uid="{00000000-0005-0000-0000-0000330D0000}"/>
    <cellStyle name="표준 46 2 6" xfId="3305" xr:uid="{00000000-0005-0000-0000-0000340D0000}"/>
    <cellStyle name="표준 46 2 6 2" xfId="3634" xr:uid="{00000000-0005-0000-0000-0000350D0000}"/>
    <cellStyle name="표준 46 2 7" xfId="3414" xr:uid="{00000000-0005-0000-0000-0000360D0000}"/>
    <cellStyle name="표준 46 2 7 2" xfId="3743" xr:uid="{00000000-0005-0000-0000-0000370D0000}"/>
    <cellStyle name="표준 46 2 8" xfId="3526" xr:uid="{00000000-0005-0000-0000-0000380D0000}"/>
    <cellStyle name="표준 46 3" xfId="3189" xr:uid="{00000000-0005-0000-0000-0000390D0000}"/>
    <cellStyle name="표준 46 3 2" xfId="3210" xr:uid="{00000000-0005-0000-0000-00003A0D0000}"/>
    <cellStyle name="표준 46 3 2 2" xfId="3270" xr:uid="{00000000-0005-0000-0000-00003B0D0000}"/>
    <cellStyle name="표준 46 3 2 2 2" xfId="3382" xr:uid="{00000000-0005-0000-0000-00003C0D0000}"/>
    <cellStyle name="표준 46 3 2 2 2 2" xfId="3711" xr:uid="{00000000-0005-0000-0000-00003D0D0000}"/>
    <cellStyle name="표준 46 3 2 2 3" xfId="3491" xr:uid="{00000000-0005-0000-0000-00003E0D0000}"/>
    <cellStyle name="표준 46 3 2 2 3 2" xfId="3820" xr:uid="{00000000-0005-0000-0000-00003F0D0000}"/>
    <cellStyle name="표준 46 3 2 2 4" xfId="3603" xr:uid="{00000000-0005-0000-0000-0000400D0000}"/>
    <cellStyle name="표준 46 3 2 3" xfId="3328" xr:uid="{00000000-0005-0000-0000-0000410D0000}"/>
    <cellStyle name="표준 46 3 2 3 2" xfId="3657" xr:uid="{00000000-0005-0000-0000-0000420D0000}"/>
    <cellStyle name="표준 46 3 2 4" xfId="3437" xr:uid="{00000000-0005-0000-0000-0000430D0000}"/>
    <cellStyle name="표준 46 3 2 4 2" xfId="3766" xr:uid="{00000000-0005-0000-0000-0000440D0000}"/>
    <cellStyle name="표준 46 3 2 5" xfId="3549" xr:uid="{00000000-0005-0000-0000-0000450D0000}"/>
    <cellStyle name="표준 46 3 3" xfId="3232" xr:uid="{00000000-0005-0000-0000-0000460D0000}"/>
    <cellStyle name="표준 46 3 3 2" xfId="3290" xr:uid="{00000000-0005-0000-0000-0000470D0000}"/>
    <cellStyle name="표준 46 3 3 2 2" xfId="3402" xr:uid="{00000000-0005-0000-0000-0000480D0000}"/>
    <cellStyle name="표준 46 3 3 2 2 2" xfId="3731" xr:uid="{00000000-0005-0000-0000-0000490D0000}"/>
    <cellStyle name="표준 46 3 3 2 3" xfId="3511" xr:uid="{00000000-0005-0000-0000-00004A0D0000}"/>
    <cellStyle name="표준 46 3 3 2 3 2" xfId="3840" xr:uid="{00000000-0005-0000-0000-00004B0D0000}"/>
    <cellStyle name="표준 46 3 3 2 4" xfId="3623" xr:uid="{00000000-0005-0000-0000-00004C0D0000}"/>
    <cellStyle name="표준 46 3 3 3" xfId="3348" xr:uid="{00000000-0005-0000-0000-00004D0D0000}"/>
    <cellStyle name="표준 46 3 3 3 2" xfId="3677" xr:uid="{00000000-0005-0000-0000-00004E0D0000}"/>
    <cellStyle name="표준 46 3 3 4" xfId="3457" xr:uid="{00000000-0005-0000-0000-00004F0D0000}"/>
    <cellStyle name="표준 46 3 3 4 2" xfId="3786" xr:uid="{00000000-0005-0000-0000-0000500D0000}"/>
    <cellStyle name="표준 46 3 3 5" xfId="3569" xr:uid="{00000000-0005-0000-0000-0000510D0000}"/>
    <cellStyle name="표준 46 3 4" xfId="3253" xr:uid="{00000000-0005-0000-0000-0000520D0000}"/>
    <cellStyle name="표준 46 3 4 2" xfId="3365" xr:uid="{00000000-0005-0000-0000-0000530D0000}"/>
    <cellStyle name="표준 46 3 4 2 2" xfId="3694" xr:uid="{00000000-0005-0000-0000-0000540D0000}"/>
    <cellStyle name="표준 46 3 4 3" xfId="3474" xr:uid="{00000000-0005-0000-0000-0000550D0000}"/>
    <cellStyle name="표준 46 3 4 3 2" xfId="3803" xr:uid="{00000000-0005-0000-0000-0000560D0000}"/>
    <cellStyle name="표준 46 3 4 4" xfId="3586" xr:uid="{00000000-0005-0000-0000-0000570D0000}"/>
    <cellStyle name="표준 46 3 5" xfId="3311" xr:uid="{00000000-0005-0000-0000-0000580D0000}"/>
    <cellStyle name="표준 46 3 5 2" xfId="3640" xr:uid="{00000000-0005-0000-0000-0000590D0000}"/>
    <cellStyle name="표준 46 3 6" xfId="3420" xr:uid="{00000000-0005-0000-0000-00005A0D0000}"/>
    <cellStyle name="표준 46 3 6 2" xfId="3749" xr:uid="{00000000-0005-0000-0000-00005B0D0000}"/>
    <cellStyle name="표준 46 3 7" xfId="3532" xr:uid="{00000000-0005-0000-0000-00005C0D0000}"/>
    <cellStyle name="표준 46 4" xfId="3200" xr:uid="{00000000-0005-0000-0000-00005D0D0000}"/>
    <cellStyle name="표준 46 4 2" xfId="3260" xr:uid="{00000000-0005-0000-0000-00005E0D0000}"/>
    <cellStyle name="표준 46 4 2 2" xfId="3372" xr:uid="{00000000-0005-0000-0000-00005F0D0000}"/>
    <cellStyle name="표준 46 4 2 2 2" xfId="3701" xr:uid="{00000000-0005-0000-0000-0000600D0000}"/>
    <cellStyle name="표준 46 4 2 3" xfId="3481" xr:uid="{00000000-0005-0000-0000-0000610D0000}"/>
    <cellStyle name="표준 46 4 2 3 2" xfId="3810" xr:uid="{00000000-0005-0000-0000-0000620D0000}"/>
    <cellStyle name="표준 46 4 2 4" xfId="3593" xr:uid="{00000000-0005-0000-0000-0000630D0000}"/>
    <cellStyle name="표준 46 4 3" xfId="3318" xr:uid="{00000000-0005-0000-0000-0000640D0000}"/>
    <cellStyle name="표준 46 4 3 2" xfId="3647" xr:uid="{00000000-0005-0000-0000-0000650D0000}"/>
    <cellStyle name="표준 46 4 4" xfId="3427" xr:uid="{00000000-0005-0000-0000-0000660D0000}"/>
    <cellStyle name="표준 46 4 4 2" xfId="3756" xr:uid="{00000000-0005-0000-0000-0000670D0000}"/>
    <cellStyle name="표준 46 4 5" xfId="3539" xr:uid="{00000000-0005-0000-0000-0000680D0000}"/>
    <cellStyle name="표준 46 5" xfId="3222" xr:uid="{00000000-0005-0000-0000-0000690D0000}"/>
    <cellStyle name="표준 46 5 2" xfId="3280" xr:uid="{00000000-0005-0000-0000-00006A0D0000}"/>
    <cellStyle name="표준 46 5 2 2" xfId="3392" xr:uid="{00000000-0005-0000-0000-00006B0D0000}"/>
    <cellStyle name="표준 46 5 2 2 2" xfId="3721" xr:uid="{00000000-0005-0000-0000-00006C0D0000}"/>
    <cellStyle name="표준 46 5 2 3" xfId="3501" xr:uid="{00000000-0005-0000-0000-00006D0D0000}"/>
    <cellStyle name="표준 46 5 2 3 2" xfId="3830" xr:uid="{00000000-0005-0000-0000-00006E0D0000}"/>
    <cellStyle name="표준 46 5 2 4" xfId="3613" xr:uid="{00000000-0005-0000-0000-00006F0D0000}"/>
    <cellStyle name="표준 46 5 3" xfId="3338" xr:uid="{00000000-0005-0000-0000-0000700D0000}"/>
    <cellStyle name="표준 46 5 3 2" xfId="3667" xr:uid="{00000000-0005-0000-0000-0000710D0000}"/>
    <cellStyle name="표준 46 5 4" xfId="3447" xr:uid="{00000000-0005-0000-0000-0000720D0000}"/>
    <cellStyle name="표준 46 5 4 2" xfId="3776" xr:uid="{00000000-0005-0000-0000-0000730D0000}"/>
    <cellStyle name="표준 46 5 5" xfId="3559" xr:uid="{00000000-0005-0000-0000-0000740D0000}"/>
    <cellStyle name="표준 46 6" xfId="3243" xr:uid="{00000000-0005-0000-0000-0000750D0000}"/>
    <cellStyle name="표준 46 6 2" xfId="3355" xr:uid="{00000000-0005-0000-0000-0000760D0000}"/>
    <cellStyle name="표준 46 6 2 2" xfId="3684" xr:uid="{00000000-0005-0000-0000-0000770D0000}"/>
    <cellStyle name="표준 46 6 3" xfId="3464" xr:uid="{00000000-0005-0000-0000-0000780D0000}"/>
    <cellStyle name="표준 46 6 3 2" xfId="3793" xr:uid="{00000000-0005-0000-0000-0000790D0000}"/>
    <cellStyle name="표준 46 6 4" xfId="3576" xr:uid="{00000000-0005-0000-0000-00007A0D0000}"/>
    <cellStyle name="표준 46 7" xfId="3301" xr:uid="{00000000-0005-0000-0000-00007B0D0000}"/>
    <cellStyle name="표준 46 7 2" xfId="3630" xr:uid="{00000000-0005-0000-0000-00007C0D0000}"/>
    <cellStyle name="표준 46 8" xfId="3410" xr:uid="{00000000-0005-0000-0000-00007D0D0000}"/>
    <cellStyle name="표준 46 8 2" xfId="3739" xr:uid="{00000000-0005-0000-0000-00007E0D0000}"/>
    <cellStyle name="표준 46 9" xfId="3522" xr:uid="{00000000-0005-0000-0000-00007F0D0000}"/>
    <cellStyle name="표준 47" xfId="3127" xr:uid="{00000000-0005-0000-0000-0000800D0000}"/>
    <cellStyle name="표준 48" xfId="3071" xr:uid="{00000000-0005-0000-0000-0000810D0000}"/>
    <cellStyle name="표준 49" xfId="3170" xr:uid="{00000000-0005-0000-0000-0000820D0000}"/>
    <cellStyle name="표준 5" xfId="3072" xr:uid="{00000000-0005-0000-0000-0000830D0000}"/>
    <cellStyle name="표준 5 2" xfId="3073" xr:uid="{00000000-0005-0000-0000-0000840D0000}"/>
    <cellStyle name="표준 5 3" xfId="3074" xr:uid="{00000000-0005-0000-0000-0000850D0000}"/>
    <cellStyle name="표준 5 4" xfId="3075" xr:uid="{00000000-0005-0000-0000-0000860D0000}"/>
    <cellStyle name="표준 5 5" xfId="3076" xr:uid="{00000000-0005-0000-0000-0000870D0000}"/>
    <cellStyle name="표준 5 6" xfId="3077" xr:uid="{00000000-0005-0000-0000-0000880D0000}"/>
    <cellStyle name="표준 5 7" xfId="3078" xr:uid="{00000000-0005-0000-0000-0000890D0000}"/>
    <cellStyle name="표준 5 8" xfId="3079" xr:uid="{00000000-0005-0000-0000-00008A0D0000}"/>
    <cellStyle name="표준 5 9" xfId="3080" xr:uid="{00000000-0005-0000-0000-00008B0D0000}"/>
    <cellStyle name="표준 50" xfId="3081" xr:uid="{00000000-0005-0000-0000-00008C0D0000}"/>
    <cellStyle name="표준 51" xfId="3082" xr:uid="{00000000-0005-0000-0000-00008D0D0000}"/>
    <cellStyle name="표준 52" xfId="3083" xr:uid="{00000000-0005-0000-0000-00008E0D0000}"/>
    <cellStyle name="표준 52 2" xfId="3084" xr:uid="{00000000-0005-0000-0000-00008F0D0000}"/>
    <cellStyle name="표준 52 3" xfId="3085" xr:uid="{00000000-0005-0000-0000-0000900D0000}"/>
    <cellStyle name="표준 52 4" xfId="3086" xr:uid="{00000000-0005-0000-0000-0000910D0000}"/>
    <cellStyle name="표준 52 5" xfId="3087" xr:uid="{00000000-0005-0000-0000-0000920D0000}"/>
    <cellStyle name="표준 52 6" xfId="3088" xr:uid="{00000000-0005-0000-0000-0000930D0000}"/>
    <cellStyle name="표준 52 7" xfId="3089" xr:uid="{00000000-0005-0000-0000-0000940D0000}"/>
    <cellStyle name="표준 53" xfId="3171" xr:uid="{00000000-0005-0000-0000-0000950D0000}"/>
    <cellStyle name="표준 54" xfId="3173" xr:uid="{00000000-0005-0000-0000-0000960D0000}"/>
    <cellStyle name="표준 55" xfId="3172" xr:uid="{00000000-0005-0000-0000-0000970D0000}"/>
    <cellStyle name="표준 55 2" xfId="3190" xr:uid="{00000000-0005-0000-0000-0000980D0000}"/>
    <cellStyle name="표준 55 2 2" xfId="3211" xr:uid="{00000000-0005-0000-0000-0000990D0000}"/>
    <cellStyle name="표준 55 2 2 2" xfId="3271" xr:uid="{00000000-0005-0000-0000-00009A0D0000}"/>
    <cellStyle name="표준 55 2 2 2 2" xfId="3383" xr:uid="{00000000-0005-0000-0000-00009B0D0000}"/>
    <cellStyle name="표준 55 2 2 2 2 2" xfId="3712" xr:uid="{00000000-0005-0000-0000-00009C0D0000}"/>
    <cellStyle name="표준 55 2 2 2 3" xfId="3492" xr:uid="{00000000-0005-0000-0000-00009D0D0000}"/>
    <cellStyle name="표준 55 2 2 2 3 2" xfId="3821" xr:uid="{00000000-0005-0000-0000-00009E0D0000}"/>
    <cellStyle name="표준 55 2 2 2 4" xfId="3604" xr:uid="{00000000-0005-0000-0000-00009F0D0000}"/>
    <cellStyle name="표준 55 2 2 3" xfId="3329" xr:uid="{00000000-0005-0000-0000-0000A00D0000}"/>
    <cellStyle name="표준 55 2 2 3 2" xfId="3658" xr:uid="{00000000-0005-0000-0000-0000A10D0000}"/>
    <cellStyle name="표준 55 2 2 4" xfId="3438" xr:uid="{00000000-0005-0000-0000-0000A20D0000}"/>
    <cellStyle name="표준 55 2 2 4 2" xfId="3767" xr:uid="{00000000-0005-0000-0000-0000A30D0000}"/>
    <cellStyle name="표준 55 2 2 5" xfId="3550" xr:uid="{00000000-0005-0000-0000-0000A40D0000}"/>
    <cellStyle name="표준 55 2 3" xfId="3233" xr:uid="{00000000-0005-0000-0000-0000A50D0000}"/>
    <cellStyle name="표준 55 2 3 2" xfId="3291" xr:uid="{00000000-0005-0000-0000-0000A60D0000}"/>
    <cellStyle name="표준 55 2 3 2 2" xfId="3403" xr:uid="{00000000-0005-0000-0000-0000A70D0000}"/>
    <cellStyle name="표준 55 2 3 2 2 2" xfId="3732" xr:uid="{00000000-0005-0000-0000-0000A80D0000}"/>
    <cellStyle name="표준 55 2 3 2 3" xfId="3512" xr:uid="{00000000-0005-0000-0000-0000A90D0000}"/>
    <cellStyle name="표준 55 2 3 2 3 2" xfId="3841" xr:uid="{00000000-0005-0000-0000-0000AA0D0000}"/>
    <cellStyle name="표준 55 2 3 2 4" xfId="3624" xr:uid="{00000000-0005-0000-0000-0000AB0D0000}"/>
    <cellStyle name="표준 55 2 3 3" xfId="3349" xr:uid="{00000000-0005-0000-0000-0000AC0D0000}"/>
    <cellStyle name="표준 55 2 3 3 2" xfId="3678" xr:uid="{00000000-0005-0000-0000-0000AD0D0000}"/>
    <cellStyle name="표준 55 2 3 4" xfId="3458" xr:uid="{00000000-0005-0000-0000-0000AE0D0000}"/>
    <cellStyle name="표준 55 2 3 4 2" xfId="3787" xr:uid="{00000000-0005-0000-0000-0000AF0D0000}"/>
    <cellStyle name="표준 55 2 3 5" xfId="3570" xr:uid="{00000000-0005-0000-0000-0000B00D0000}"/>
    <cellStyle name="표준 55 2 4" xfId="3254" xr:uid="{00000000-0005-0000-0000-0000B10D0000}"/>
    <cellStyle name="표준 55 2 4 2" xfId="3366" xr:uid="{00000000-0005-0000-0000-0000B20D0000}"/>
    <cellStyle name="표준 55 2 4 2 2" xfId="3695" xr:uid="{00000000-0005-0000-0000-0000B30D0000}"/>
    <cellStyle name="표준 55 2 4 3" xfId="3475" xr:uid="{00000000-0005-0000-0000-0000B40D0000}"/>
    <cellStyle name="표준 55 2 4 3 2" xfId="3804" xr:uid="{00000000-0005-0000-0000-0000B50D0000}"/>
    <cellStyle name="표준 55 2 4 4" xfId="3587" xr:uid="{00000000-0005-0000-0000-0000B60D0000}"/>
    <cellStyle name="표준 55 2 5" xfId="3312" xr:uid="{00000000-0005-0000-0000-0000B70D0000}"/>
    <cellStyle name="표준 55 2 5 2" xfId="3641" xr:uid="{00000000-0005-0000-0000-0000B80D0000}"/>
    <cellStyle name="표준 55 2 6" xfId="3421" xr:uid="{00000000-0005-0000-0000-0000B90D0000}"/>
    <cellStyle name="표준 55 2 6 2" xfId="3750" xr:uid="{00000000-0005-0000-0000-0000BA0D0000}"/>
    <cellStyle name="표준 55 2 7" xfId="3533" xr:uid="{00000000-0005-0000-0000-0000BB0D0000}"/>
    <cellStyle name="표준 55 3" xfId="3201" xr:uid="{00000000-0005-0000-0000-0000BC0D0000}"/>
    <cellStyle name="표준 55 3 2" xfId="3261" xr:uid="{00000000-0005-0000-0000-0000BD0D0000}"/>
    <cellStyle name="표준 55 3 2 2" xfId="3373" xr:uid="{00000000-0005-0000-0000-0000BE0D0000}"/>
    <cellStyle name="표준 55 3 2 2 2" xfId="3702" xr:uid="{00000000-0005-0000-0000-0000BF0D0000}"/>
    <cellStyle name="표준 55 3 2 3" xfId="3482" xr:uid="{00000000-0005-0000-0000-0000C00D0000}"/>
    <cellStyle name="표준 55 3 2 3 2" xfId="3811" xr:uid="{00000000-0005-0000-0000-0000C10D0000}"/>
    <cellStyle name="표준 55 3 2 4" xfId="3594" xr:uid="{00000000-0005-0000-0000-0000C20D0000}"/>
    <cellStyle name="표준 55 3 3" xfId="3319" xr:uid="{00000000-0005-0000-0000-0000C30D0000}"/>
    <cellStyle name="표준 55 3 3 2" xfId="3648" xr:uid="{00000000-0005-0000-0000-0000C40D0000}"/>
    <cellStyle name="표준 55 3 4" xfId="3428" xr:uid="{00000000-0005-0000-0000-0000C50D0000}"/>
    <cellStyle name="표준 55 3 4 2" xfId="3757" xr:uid="{00000000-0005-0000-0000-0000C60D0000}"/>
    <cellStyle name="표준 55 3 5" xfId="3540" xr:uid="{00000000-0005-0000-0000-0000C70D0000}"/>
    <cellStyle name="표준 55 4" xfId="3223" xr:uid="{00000000-0005-0000-0000-0000C80D0000}"/>
    <cellStyle name="표준 55 4 2" xfId="3281" xr:uid="{00000000-0005-0000-0000-0000C90D0000}"/>
    <cellStyle name="표준 55 4 2 2" xfId="3393" xr:uid="{00000000-0005-0000-0000-0000CA0D0000}"/>
    <cellStyle name="표준 55 4 2 2 2" xfId="3722" xr:uid="{00000000-0005-0000-0000-0000CB0D0000}"/>
    <cellStyle name="표준 55 4 2 3" xfId="3502" xr:uid="{00000000-0005-0000-0000-0000CC0D0000}"/>
    <cellStyle name="표준 55 4 2 3 2" xfId="3831" xr:uid="{00000000-0005-0000-0000-0000CD0D0000}"/>
    <cellStyle name="표준 55 4 2 4" xfId="3614" xr:uid="{00000000-0005-0000-0000-0000CE0D0000}"/>
    <cellStyle name="표준 55 4 3" xfId="3339" xr:uid="{00000000-0005-0000-0000-0000CF0D0000}"/>
    <cellStyle name="표준 55 4 3 2" xfId="3668" xr:uid="{00000000-0005-0000-0000-0000D00D0000}"/>
    <cellStyle name="표준 55 4 4" xfId="3448" xr:uid="{00000000-0005-0000-0000-0000D10D0000}"/>
    <cellStyle name="표준 55 4 4 2" xfId="3777" xr:uid="{00000000-0005-0000-0000-0000D20D0000}"/>
    <cellStyle name="표준 55 4 5" xfId="3560" xr:uid="{00000000-0005-0000-0000-0000D30D0000}"/>
    <cellStyle name="표준 55 5" xfId="3244" xr:uid="{00000000-0005-0000-0000-0000D40D0000}"/>
    <cellStyle name="표준 55 5 2" xfId="3356" xr:uid="{00000000-0005-0000-0000-0000D50D0000}"/>
    <cellStyle name="표준 55 5 2 2" xfId="3685" xr:uid="{00000000-0005-0000-0000-0000D60D0000}"/>
    <cellStyle name="표준 55 5 3" xfId="3465" xr:uid="{00000000-0005-0000-0000-0000D70D0000}"/>
    <cellStyle name="표준 55 5 3 2" xfId="3794" xr:uid="{00000000-0005-0000-0000-0000D80D0000}"/>
    <cellStyle name="표준 55 5 4" xfId="3577" xr:uid="{00000000-0005-0000-0000-0000D90D0000}"/>
    <cellStyle name="표준 55 6" xfId="3302" xr:uid="{00000000-0005-0000-0000-0000DA0D0000}"/>
    <cellStyle name="표준 55 6 2" xfId="3631" xr:uid="{00000000-0005-0000-0000-0000DB0D0000}"/>
    <cellStyle name="표준 55 7" xfId="3411" xr:uid="{00000000-0005-0000-0000-0000DC0D0000}"/>
    <cellStyle name="표준 55 7 2" xfId="3740" xr:uid="{00000000-0005-0000-0000-0000DD0D0000}"/>
    <cellStyle name="표준 55 8" xfId="3523" xr:uid="{00000000-0005-0000-0000-0000DE0D0000}"/>
    <cellStyle name="표준 56" xfId="3177" xr:uid="{00000000-0005-0000-0000-0000DF0D0000}"/>
    <cellStyle name="표준 56 2" xfId="3191" xr:uid="{00000000-0005-0000-0000-0000E00D0000}"/>
    <cellStyle name="표준 56 2 2" xfId="3212" xr:uid="{00000000-0005-0000-0000-0000E10D0000}"/>
    <cellStyle name="표준 56 2 2 2" xfId="3272" xr:uid="{00000000-0005-0000-0000-0000E20D0000}"/>
    <cellStyle name="표준 56 2 2 2 2" xfId="3384" xr:uid="{00000000-0005-0000-0000-0000E30D0000}"/>
    <cellStyle name="표준 56 2 2 2 2 2" xfId="3713" xr:uid="{00000000-0005-0000-0000-0000E40D0000}"/>
    <cellStyle name="표준 56 2 2 2 3" xfId="3493" xr:uid="{00000000-0005-0000-0000-0000E50D0000}"/>
    <cellStyle name="표준 56 2 2 2 3 2" xfId="3822" xr:uid="{00000000-0005-0000-0000-0000E60D0000}"/>
    <cellStyle name="표준 56 2 2 2 4" xfId="3605" xr:uid="{00000000-0005-0000-0000-0000E70D0000}"/>
    <cellStyle name="표준 56 2 2 3" xfId="3330" xr:uid="{00000000-0005-0000-0000-0000E80D0000}"/>
    <cellStyle name="표준 56 2 2 3 2" xfId="3659" xr:uid="{00000000-0005-0000-0000-0000E90D0000}"/>
    <cellStyle name="표준 56 2 2 4" xfId="3439" xr:uid="{00000000-0005-0000-0000-0000EA0D0000}"/>
    <cellStyle name="표준 56 2 2 4 2" xfId="3768" xr:uid="{00000000-0005-0000-0000-0000EB0D0000}"/>
    <cellStyle name="표준 56 2 2 5" xfId="3551" xr:uid="{00000000-0005-0000-0000-0000EC0D0000}"/>
    <cellStyle name="표준 56 2 3" xfId="3234" xr:uid="{00000000-0005-0000-0000-0000ED0D0000}"/>
    <cellStyle name="표준 56 2 3 2" xfId="3292" xr:uid="{00000000-0005-0000-0000-0000EE0D0000}"/>
    <cellStyle name="표준 56 2 3 2 2" xfId="3404" xr:uid="{00000000-0005-0000-0000-0000EF0D0000}"/>
    <cellStyle name="표준 56 2 3 2 2 2" xfId="3733" xr:uid="{00000000-0005-0000-0000-0000F00D0000}"/>
    <cellStyle name="표준 56 2 3 2 3" xfId="3513" xr:uid="{00000000-0005-0000-0000-0000F10D0000}"/>
    <cellStyle name="표준 56 2 3 2 3 2" xfId="3842" xr:uid="{00000000-0005-0000-0000-0000F20D0000}"/>
    <cellStyle name="표준 56 2 3 2 4" xfId="3625" xr:uid="{00000000-0005-0000-0000-0000F30D0000}"/>
    <cellStyle name="표준 56 2 3 3" xfId="3350" xr:uid="{00000000-0005-0000-0000-0000F40D0000}"/>
    <cellStyle name="표준 56 2 3 3 2" xfId="3679" xr:uid="{00000000-0005-0000-0000-0000F50D0000}"/>
    <cellStyle name="표준 56 2 3 4" xfId="3459" xr:uid="{00000000-0005-0000-0000-0000F60D0000}"/>
    <cellStyle name="표준 56 2 3 4 2" xfId="3788" xr:uid="{00000000-0005-0000-0000-0000F70D0000}"/>
    <cellStyle name="표준 56 2 3 5" xfId="3571" xr:uid="{00000000-0005-0000-0000-0000F80D0000}"/>
    <cellStyle name="표준 56 2 4" xfId="3255" xr:uid="{00000000-0005-0000-0000-0000F90D0000}"/>
    <cellStyle name="표준 56 2 4 2" xfId="3367" xr:uid="{00000000-0005-0000-0000-0000FA0D0000}"/>
    <cellStyle name="표준 56 2 4 2 2" xfId="3696" xr:uid="{00000000-0005-0000-0000-0000FB0D0000}"/>
    <cellStyle name="표준 56 2 4 3" xfId="3476" xr:uid="{00000000-0005-0000-0000-0000FC0D0000}"/>
    <cellStyle name="표준 56 2 4 3 2" xfId="3805" xr:uid="{00000000-0005-0000-0000-0000FD0D0000}"/>
    <cellStyle name="표준 56 2 4 4" xfId="3588" xr:uid="{00000000-0005-0000-0000-0000FE0D0000}"/>
    <cellStyle name="표준 56 2 5" xfId="3313" xr:uid="{00000000-0005-0000-0000-0000FF0D0000}"/>
    <cellStyle name="표준 56 2 5 2" xfId="3642" xr:uid="{00000000-0005-0000-0000-0000000E0000}"/>
    <cellStyle name="표준 56 2 6" xfId="3422" xr:uid="{00000000-0005-0000-0000-0000010E0000}"/>
    <cellStyle name="표준 56 2 6 2" xfId="3751" xr:uid="{00000000-0005-0000-0000-0000020E0000}"/>
    <cellStyle name="표준 56 2 7" xfId="3534" xr:uid="{00000000-0005-0000-0000-0000030E0000}"/>
    <cellStyle name="표준 56 3" xfId="3202" xr:uid="{00000000-0005-0000-0000-0000040E0000}"/>
    <cellStyle name="표준 56 3 2" xfId="3262" xr:uid="{00000000-0005-0000-0000-0000050E0000}"/>
    <cellStyle name="표준 56 3 2 2" xfId="3374" xr:uid="{00000000-0005-0000-0000-0000060E0000}"/>
    <cellStyle name="표준 56 3 2 2 2" xfId="3703" xr:uid="{00000000-0005-0000-0000-0000070E0000}"/>
    <cellStyle name="표준 56 3 2 3" xfId="3483" xr:uid="{00000000-0005-0000-0000-0000080E0000}"/>
    <cellStyle name="표준 56 3 2 3 2" xfId="3812" xr:uid="{00000000-0005-0000-0000-0000090E0000}"/>
    <cellStyle name="표준 56 3 2 4" xfId="3595" xr:uid="{00000000-0005-0000-0000-00000A0E0000}"/>
    <cellStyle name="표준 56 3 3" xfId="3320" xr:uid="{00000000-0005-0000-0000-00000B0E0000}"/>
    <cellStyle name="표준 56 3 3 2" xfId="3649" xr:uid="{00000000-0005-0000-0000-00000C0E0000}"/>
    <cellStyle name="표준 56 3 4" xfId="3429" xr:uid="{00000000-0005-0000-0000-00000D0E0000}"/>
    <cellStyle name="표준 56 3 4 2" xfId="3758" xr:uid="{00000000-0005-0000-0000-00000E0E0000}"/>
    <cellStyle name="표준 56 3 5" xfId="3541" xr:uid="{00000000-0005-0000-0000-00000F0E0000}"/>
    <cellStyle name="표준 56 4" xfId="3224" xr:uid="{00000000-0005-0000-0000-0000100E0000}"/>
    <cellStyle name="표준 56 4 2" xfId="3282" xr:uid="{00000000-0005-0000-0000-0000110E0000}"/>
    <cellStyle name="표준 56 4 2 2" xfId="3394" xr:uid="{00000000-0005-0000-0000-0000120E0000}"/>
    <cellStyle name="표준 56 4 2 2 2" xfId="3723" xr:uid="{00000000-0005-0000-0000-0000130E0000}"/>
    <cellStyle name="표준 56 4 2 3" xfId="3503" xr:uid="{00000000-0005-0000-0000-0000140E0000}"/>
    <cellStyle name="표준 56 4 2 3 2" xfId="3832" xr:uid="{00000000-0005-0000-0000-0000150E0000}"/>
    <cellStyle name="표준 56 4 2 4" xfId="3615" xr:uid="{00000000-0005-0000-0000-0000160E0000}"/>
    <cellStyle name="표준 56 4 3" xfId="3340" xr:uid="{00000000-0005-0000-0000-0000170E0000}"/>
    <cellStyle name="표준 56 4 3 2" xfId="3669" xr:uid="{00000000-0005-0000-0000-0000180E0000}"/>
    <cellStyle name="표준 56 4 4" xfId="3449" xr:uid="{00000000-0005-0000-0000-0000190E0000}"/>
    <cellStyle name="표준 56 4 4 2" xfId="3778" xr:uid="{00000000-0005-0000-0000-00001A0E0000}"/>
    <cellStyle name="표준 56 4 5" xfId="3561" xr:uid="{00000000-0005-0000-0000-00001B0E0000}"/>
    <cellStyle name="표준 56 5" xfId="3245" xr:uid="{00000000-0005-0000-0000-00001C0E0000}"/>
    <cellStyle name="표준 56 5 2" xfId="3357" xr:uid="{00000000-0005-0000-0000-00001D0E0000}"/>
    <cellStyle name="표준 56 5 2 2" xfId="3686" xr:uid="{00000000-0005-0000-0000-00001E0E0000}"/>
    <cellStyle name="표준 56 5 3" xfId="3466" xr:uid="{00000000-0005-0000-0000-00001F0E0000}"/>
    <cellStyle name="표준 56 5 3 2" xfId="3795" xr:uid="{00000000-0005-0000-0000-0000200E0000}"/>
    <cellStyle name="표준 56 5 4" xfId="3578" xr:uid="{00000000-0005-0000-0000-0000210E0000}"/>
    <cellStyle name="표준 56 6" xfId="3303" xr:uid="{00000000-0005-0000-0000-0000220E0000}"/>
    <cellStyle name="표준 56 6 2" xfId="3632" xr:uid="{00000000-0005-0000-0000-0000230E0000}"/>
    <cellStyle name="표준 56 7" xfId="3412" xr:uid="{00000000-0005-0000-0000-0000240E0000}"/>
    <cellStyle name="표준 56 7 2" xfId="3741" xr:uid="{00000000-0005-0000-0000-0000250E0000}"/>
    <cellStyle name="표준 56 8" xfId="3524" xr:uid="{00000000-0005-0000-0000-0000260E0000}"/>
    <cellStyle name="표준 57" xfId="3181" xr:uid="{00000000-0005-0000-0000-0000270E0000}"/>
    <cellStyle name="표준 58" xfId="3180" xr:uid="{00000000-0005-0000-0000-0000280E0000}"/>
    <cellStyle name="표준 58 2" xfId="3205" xr:uid="{00000000-0005-0000-0000-0000290E0000}"/>
    <cellStyle name="표준 58 2 2" xfId="3265" xr:uid="{00000000-0005-0000-0000-00002A0E0000}"/>
    <cellStyle name="표준 58 2 2 2" xfId="3377" xr:uid="{00000000-0005-0000-0000-00002B0E0000}"/>
    <cellStyle name="표준 58 2 2 2 2" xfId="3706" xr:uid="{00000000-0005-0000-0000-00002C0E0000}"/>
    <cellStyle name="표준 58 2 2 3" xfId="3486" xr:uid="{00000000-0005-0000-0000-00002D0E0000}"/>
    <cellStyle name="표준 58 2 2 3 2" xfId="3815" xr:uid="{00000000-0005-0000-0000-00002E0E0000}"/>
    <cellStyle name="표준 58 2 2 4" xfId="3598" xr:uid="{00000000-0005-0000-0000-00002F0E0000}"/>
    <cellStyle name="표준 58 2 3" xfId="3323" xr:uid="{00000000-0005-0000-0000-0000300E0000}"/>
    <cellStyle name="표준 58 2 3 2" xfId="3652" xr:uid="{00000000-0005-0000-0000-0000310E0000}"/>
    <cellStyle name="표준 58 2 4" xfId="3432" xr:uid="{00000000-0005-0000-0000-0000320E0000}"/>
    <cellStyle name="표준 58 2 4 2" xfId="3761" xr:uid="{00000000-0005-0000-0000-0000330E0000}"/>
    <cellStyle name="표준 58 2 5" xfId="3544" xr:uid="{00000000-0005-0000-0000-0000340E0000}"/>
    <cellStyle name="표준 58 3" xfId="3227" xr:uid="{00000000-0005-0000-0000-0000350E0000}"/>
    <cellStyle name="표준 58 3 2" xfId="3285" xr:uid="{00000000-0005-0000-0000-0000360E0000}"/>
    <cellStyle name="표준 58 3 2 2" xfId="3397" xr:uid="{00000000-0005-0000-0000-0000370E0000}"/>
    <cellStyle name="표준 58 3 2 2 2" xfId="3726" xr:uid="{00000000-0005-0000-0000-0000380E0000}"/>
    <cellStyle name="표준 58 3 2 3" xfId="3506" xr:uid="{00000000-0005-0000-0000-0000390E0000}"/>
    <cellStyle name="표준 58 3 2 3 2" xfId="3835" xr:uid="{00000000-0005-0000-0000-00003A0E0000}"/>
    <cellStyle name="표준 58 3 2 4" xfId="3618" xr:uid="{00000000-0005-0000-0000-00003B0E0000}"/>
    <cellStyle name="표준 58 3 3" xfId="3343" xr:uid="{00000000-0005-0000-0000-00003C0E0000}"/>
    <cellStyle name="표준 58 3 3 2" xfId="3672" xr:uid="{00000000-0005-0000-0000-00003D0E0000}"/>
    <cellStyle name="표준 58 3 4" xfId="3452" xr:uid="{00000000-0005-0000-0000-00003E0E0000}"/>
    <cellStyle name="표준 58 3 4 2" xfId="3781" xr:uid="{00000000-0005-0000-0000-00003F0E0000}"/>
    <cellStyle name="표준 58 3 5" xfId="3564" xr:uid="{00000000-0005-0000-0000-0000400E0000}"/>
    <cellStyle name="표준 58 4" xfId="3248" xr:uid="{00000000-0005-0000-0000-0000410E0000}"/>
    <cellStyle name="표준 58 4 2" xfId="3360" xr:uid="{00000000-0005-0000-0000-0000420E0000}"/>
    <cellStyle name="표준 58 4 2 2" xfId="3689" xr:uid="{00000000-0005-0000-0000-0000430E0000}"/>
    <cellStyle name="표준 58 4 3" xfId="3469" xr:uid="{00000000-0005-0000-0000-0000440E0000}"/>
    <cellStyle name="표준 58 4 3 2" xfId="3798" xr:uid="{00000000-0005-0000-0000-0000450E0000}"/>
    <cellStyle name="표준 58 4 4" xfId="3581" xr:uid="{00000000-0005-0000-0000-0000460E0000}"/>
    <cellStyle name="표준 58 5" xfId="3306" xr:uid="{00000000-0005-0000-0000-0000470E0000}"/>
    <cellStyle name="표준 58 5 2" xfId="3635" xr:uid="{00000000-0005-0000-0000-0000480E0000}"/>
    <cellStyle name="표준 58 6" xfId="3415" xr:uid="{00000000-0005-0000-0000-0000490E0000}"/>
    <cellStyle name="표준 58 6 2" xfId="3744" xr:uid="{00000000-0005-0000-0000-00004A0E0000}"/>
    <cellStyle name="표준 58 7" xfId="3527" xr:uid="{00000000-0005-0000-0000-00004B0E0000}"/>
    <cellStyle name="표준 59" xfId="3187" xr:uid="{00000000-0005-0000-0000-00004C0E0000}"/>
    <cellStyle name="표준 59 2" xfId="3208" xr:uid="{00000000-0005-0000-0000-00004D0E0000}"/>
    <cellStyle name="표준 59 2 2" xfId="3268" xr:uid="{00000000-0005-0000-0000-00004E0E0000}"/>
    <cellStyle name="표준 59 2 2 2" xfId="3380" xr:uid="{00000000-0005-0000-0000-00004F0E0000}"/>
    <cellStyle name="표준 59 2 2 2 2" xfId="3709" xr:uid="{00000000-0005-0000-0000-0000500E0000}"/>
    <cellStyle name="표준 59 2 2 3" xfId="3489" xr:uid="{00000000-0005-0000-0000-0000510E0000}"/>
    <cellStyle name="표준 59 2 2 3 2" xfId="3818" xr:uid="{00000000-0005-0000-0000-0000520E0000}"/>
    <cellStyle name="표준 59 2 2 4" xfId="3601" xr:uid="{00000000-0005-0000-0000-0000530E0000}"/>
    <cellStyle name="표준 59 2 3" xfId="3326" xr:uid="{00000000-0005-0000-0000-0000540E0000}"/>
    <cellStyle name="표준 59 2 3 2" xfId="3655" xr:uid="{00000000-0005-0000-0000-0000550E0000}"/>
    <cellStyle name="표준 59 2 4" xfId="3435" xr:uid="{00000000-0005-0000-0000-0000560E0000}"/>
    <cellStyle name="표준 59 2 4 2" xfId="3764" xr:uid="{00000000-0005-0000-0000-0000570E0000}"/>
    <cellStyle name="표준 59 2 5" xfId="3547" xr:uid="{00000000-0005-0000-0000-0000580E0000}"/>
    <cellStyle name="표준 59 3" xfId="3230" xr:uid="{00000000-0005-0000-0000-0000590E0000}"/>
    <cellStyle name="표준 59 3 2" xfId="3288" xr:uid="{00000000-0005-0000-0000-00005A0E0000}"/>
    <cellStyle name="표준 59 3 2 2" xfId="3400" xr:uid="{00000000-0005-0000-0000-00005B0E0000}"/>
    <cellStyle name="표준 59 3 2 2 2" xfId="3729" xr:uid="{00000000-0005-0000-0000-00005C0E0000}"/>
    <cellStyle name="표준 59 3 2 3" xfId="3509" xr:uid="{00000000-0005-0000-0000-00005D0E0000}"/>
    <cellStyle name="표준 59 3 2 3 2" xfId="3838" xr:uid="{00000000-0005-0000-0000-00005E0E0000}"/>
    <cellStyle name="표준 59 3 2 4" xfId="3621" xr:uid="{00000000-0005-0000-0000-00005F0E0000}"/>
    <cellStyle name="표준 59 3 3" xfId="3346" xr:uid="{00000000-0005-0000-0000-0000600E0000}"/>
    <cellStyle name="표준 59 3 3 2" xfId="3675" xr:uid="{00000000-0005-0000-0000-0000610E0000}"/>
    <cellStyle name="표준 59 3 4" xfId="3455" xr:uid="{00000000-0005-0000-0000-0000620E0000}"/>
    <cellStyle name="표준 59 3 4 2" xfId="3784" xr:uid="{00000000-0005-0000-0000-0000630E0000}"/>
    <cellStyle name="표준 59 3 5" xfId="3567" xr:uid="{00000000-0005-0000-0000-0000640E0000}"/>
    <cellStyle name="표준 59 4" xfId="3251" xr:uid="{00000000-0005-0000-0000-0000650E0000}"/>
    <cellStyle name="표준 59 4 2" xfId="3363" xr:uid="{00000000-0005-0000-0000-0000660E0000}"/>
    <cellStyle name="표준 59 4 2 2" xfId="3692" xr:uid="{00000000-0005-0000-0000-0000670E0000}"/>
    <cellStyle name="표준 59 4 3" xfId="3472" xr:uid="{00000000-0005-0000-0000-0000680E0000}"/>
    <cellStyle name="표준 59 4 3 2" xfId="3801" xr:uid="{00000000-0005-0000-0000-0000690E0000}"/>
    <cellStyle name="표준 59 4 4" xfId="3584" xr:uid="{00000000-0005-0000-0000-00006A0E0000}"/>
    <cellStyle name="표준 59 5" xfId="3309" xr:uid="{00000000-0005-0000-0000-00006B0E0000}"/>
    <cellStyle name="표준 59 5 2" xfId="3638" xr:uid="{00000000-0005-0000-0000-00006C0E0000}"/>
    <cellStyle name="표준 59 6" xfId="3418" xr:uid="{00000000-0005-0000-0000-00006D0E0000}"/>
    <cellStyle name="표준 59 6 2" xfId="3747" xr:uid="{00000000-0005-0000-0000-00006E0E0000}"/>
    <cellStyle name="표준 59 7" xfId="3530" xr:uid="{00000000-0005-0000-0000-00006F0E0000}"/>
    <cellStyle name="표준 6" xfId="3090" xr:uid="{00000000-0005-0000-0000-0000700E0000}"/>
    <cellStyle name="표준 6 2" xfId="3091" xr:uid="{00000000-0005-0000-0000-0000710E0000}"/>
    <cellStyle name="표준 60" xfId="3182" xr:uid="{00000000-0005-0000-0000-0000720E0000}"/>
    <cellStyle name="표준 60 2" xfId="3206" xr:uid="{00000000-0005-0000-0000-0000730E0000}"/>
    <cellStyle name="표준 60 2 2" xfId="3266" xr:uid="{00000000-0005-0000-0000-0000740E0000}"/>
    <cellStyle name="표준 60 2 2 2" xfId="3378" xr:uid="{00000000-0005-0000-0000-0000750E0000}"/>
    <cellStyle name="표준 60 2 2 2 2" xfId="3707" xr:uid="{00000000-0005-0000-0000-0000760E0000}"/>
    <cellStyle name="표준 60 2 2 3" xfId="3487" xr:uid="{00000000-0005-0000-0000-0000770E0000}"/>
    <cellStyle name="표준 60 2 2 3 2" xfId="3816" xr:uid="{00000000-0005-0000-0000-0000780E0000}"/>
    <cellStyle name="표준 60 2 2 4" xfId="3599" xr:uid="{00000000-0005-0000-0000-0000790E0000}"/>
    <cellStyle name="표준 60 2 3" xfId="3324" xr:uid="{00000000-0005-0000-0000-00007A0E0000}"/>
    <cellStyle name="표준 60 2 3 2" xfId="3653" xr:uid="{00000000-0005-0000-0000-00007B0E0000}"/>
    <cellStyle name="표준 60 2 4" xfId="3433" xr:uid="{00000000-0005-0000-0000-00007C0E0000}"/>
    <cellStyle name="표준 60 2 4 2" xfId="3762" xr:uid="{00000000-0005-0000-0000-00007D0E0000}"/>
    <cellStyle name="표준 60 2 5" xfId="3545" xr:uid="{00000000-0005-0000-0000-00007E0E0000}"/>
    <cellStyle name="표준 60 3" xfId="3228" xr:uid="{00000000-0005-0000-0000-00007F0E0000}"/>
    <cellStyle name="표준 60 3 2" xfId="3286" xr:uid="{00000000-0005-0000-0000-0000800E0000}"/>
    <cellStyle name="표준 60 3 2 2" xfId="3398" xr:uid="{00000000-0005-0000-0000-0000810E0000}"/>
    <cellStyle name="표준 60 3 2 2 2" xfId="3727" xr:uid="{00000000-0005-0000-0000-0000820E0000}"/>
    <cellStyle name="표준 60 3 2 3" xfId="3507" xr:uid="{00000000-0005-0000-0000-0000830E0000}"/>
    <cellStyle name="표준 60 3 2 3 2" xfId="3836" xr:uid="{00000000-0005-0000-0000-0000840E0000}"/>
    <cellStyle name="표준 60 3 2 4" xfId="3619" xr:uid="{00000000-0005-0000-0000-0000850E0000}"/>
    <cellStyle name="표준 60 3 3" xfId="3344" xr:uid="{00000000-0005-0000-0000-0000860E0000}"/>
    <cellStyle name="표준 60 3 3 2" xfId="3673" xr:uid="{00000000-0005-0000-0000-0000870E0000}"/>
    <cellStyle name="표준 60 3 4" xfId="3453" xr:uid="{00000000-0005-0000-0000-0000880E0000}"/>
    <cellStyle name="표준 60 3 4 2" xfId="3782" xr:uid="{00000000-0005-0000-0000-0000890E0000}"/>
    <cellStyle name="표준 60 3 5" xfId="3565" xr:uid="{00000000-0005-0000-0000-00008A0E0000}"/>
    <cellStyle name="표준 60 4" xfId="3249" xr:uid="{00000000-0005-0000-0000-00008B0E0000}"/>
    <cellStyle name="표준 60 4 2" xfId="3361" xr:uid="{00000000-0005-0000-0000-00008C0E0000}"/>
    <cellStyle name="표준 60 4 2 2" xfId="3690" xr:uid="{00000000-0005-0000-0000-00008D0E0000}"/>
    <cellStyle name="표준 60 4 3" xfId="3470" xr:uid="{00000000-0005-0000-0000-00008E0E0000}"/>
    <cellStyle name="표준 60 4 3 2" xfId="3799" xr:uid="{00000000-0005-0000-0000-00008F0E0000}"/>
    <cellStyle name="표준 60 4 4" xfId="3582" xr:uid="{00000000-0005-0000-0000-0000900E0000}"/>
    <cellStyle name="표준 60 5" xfId="3307" xr:uid="{00000000-0005-0000-0000-0000910E0000}"/>
    <cellStyle name="표준 60 5 2" xfId="3636" xr:uid="{00000000-0005-0000-0000-0000920E0000}"/>
    <cellStyle name="표준 60 6" xfId="3416" xr:uid="{00000000-0005-0000-0000-0000930E0000}"/>
    <cellStyle name="표준 60 6 2" xfId="3745" xr:uid="{00000000-0005-0000-0000-0000940E0000}"/>
    <cellStyle name="표준 60 7" xfId="3528" xr:uid="{00000000-0005-0000-0000-0000950E0000}"/>
    <cellStyle name="표준 61" xfId="3186" xr:uid="{00000000-0005-0000-0000-0000960E0000}"/>
    <cellStyle name="표준 61 2" xfId="3207" xr:uid="{00000000-0005-0000-0000-0000970E0000}"/>
    <cellStyle name="표준 61 2 2" xfId="3267" xr:uid="{00000000-0005-0000-0000-0000980E0000}"/>
    <cellStyle name="표준 61 2 2 2" xfId="3379" xr:uid="{00000000-0005-0000-0000-0000990E0000}"/>
    <cellStyle name="표준 61 2 2 2 2" xfId="3708" xr:uid="{00000000-0005-0000-0000-00009A0E0000}"/>
    <cellStyle name="표준 61 2 2 3" xfId="3488" xr:uid="{00000000-0005-0000-0000-00009B0E0000}"/>
    <cellStyle name="표준 61 2 2 3 2" xfId="3817" xr:uid="{00000000-0005-0000-0000-00009C0E0000}"/>
    <cellStyle name="표준 61 2 2 4" xfId="3600" xr:uid="{00000000-0005-0000-0000-00009D0E0000}"/>
    <cellStyle name="표준 61 2 3" xfId="3325" xr:uid="{00000000-0005-0000-0000-00009E0E0000}"/>
    <cellStyle name="표준 61 2 3 2" xfId="3654" xr:uid="{00000000-0005-0000-0000-00009F0E0000}"/>
    <cellStyle name="표준 61 2 4" xfId="3434" xr:uid="{00000000-0005-0000-0000-0000A00E0000}"/>
    <cellStyle name="표준 61 2 4 2" xfId="3763" xr:uid="{00000000-0005-0000-0000-0000A10E0000}"/>
    <cellStyle name="표준 61 2 5" xfId="3546" xr:uid="{00000000-0005-0000-0000-0000A20E0000}"/>
    <cellStyle name="표준 61 3" xfId="3229" xr:uid="{00000000-0005-0000-0000-0000A30E0000}"/>
    <cellStyle name="표준 61 3 2" xfId="3287" xr:uid="{00000000-0005-0000-0000-0000A40E0000}"/>
    <cellStyle name="표준 61 3 2 2" xfId="3399" xr:uid="{00000000-0005-0000-0000-0000A50E0000}"/>
    <cellStyle name="표준 61 3 2 2 2" xfId="3728" xr:uid="{00000000-0005-0000-0000-0000A60E0000}"/>
    <cellStyle name="표준 61 3 2 3" xfId="3508" xr:uid="{00000000-0005-0000-0000-0000A70E0000}"/>
    <cellStyle name="표준 61 3 2 3 2" xfId="3837" xr:uid="{00000000-0005-0000-0000-0000A80E0000}"/>
    <cellStyle name="표준 61 3 2 4" xfId="3620" xr:uid="{00000000-0005-0000-0000-0000A90E0000}"/>
    <cellStyle name="표준 61 3 3" xfId="3345" xr:uid="{00000000-0005-0000-0000-0000AA0E0000}"/>
    <cellStyle name="표준 61 3 3 2" xfId="3674" xr:uid="{00000000-0005-0000-0000-0000AB0E0000}"/>
    <cellStyle name="표준 61 3 4" xfId="3454" xr:uid="{00000000-0005-0000-0000-0000AC0E0000}"/>
    <cellStyle name="표준 61 3 4 2" xfId="3783" xr:uid="{00000000-0005-0000-0000-0000AD0E0000}"/>
    <cellStyle name="표준 61 3 5" xfId="3566" xr:uid="{00000000-0005-0000-0000-0000AE0E0000}"/>
    <cellStyle name="표준 61 4" xfId="3250" xr:uid="{00000000-0005-0000-0000-0000AF0E0000}"/>
    <cellStyle name="표준 61 4 2" xfId="3362" xr:uid="{00000000-0005-0000-0000-0000B00E0000}"/>
    <cellStyle name="표준 61 4 2 2" xfId="3691" xr:uid="{00000000-0005-0000-0000-0000B10E0000}"/>
    <cellStyle name="표준 61 4 3" xfId="3471" xr:uid="{00000000-0005-0000-0000-0000B20E0000}"/>
    <cellStyle name="표준 61 4 3 2" xfId="3800" xr:uid="{00000000-0005-0000-0000-0000B30E0000}"/>
    <cellStyle name="표준 61 4 4" xfId="3583" xr:uid="{00000000-0005-0000-0000-0000B40E0000}"/>
    <cellStyle name="표준 61 5" xfId="3308" xr:uid="{00000000-0005-0000-0000-0000B50E0000}"/>
    <cellStyle name="표준 61 5 2" xfId="3637" xr:uid="{00000000-0005-0000-0000-0000B60E0000}"/>
    <cellStyle name="표준 61 6" xfId="3417" xr:uid="{00000000-0005-0000-0000-0000B70E0000}"/>
    <cellStyle name="표준 61 6 2" xfId="3746" xr:uid="{00000000-0005-0000-0000-0000B80E0000}"/>
    <cellStyle name="표준 61 7" xfId="3529" xr:uid="{00000000-0005-0000-0000-0000B90E0000}"/>
    <cellStyle name="표준 62" xfId="3195" xr:uid="{00000000-0005-0000-0000-0000BA0E0000}"/>
    <cellStyle name="표준 63" xfId="3194" xr:uid="{00000000-0005-0000-0000-0000BB0E0000}"/>
    <cellStyle name="표준 63 2" xfId="3258" xr:uid="{00000000-0005-0000-0000-0000BC0E0000}"/>
    <cellStyle name="표준 63 2 2" xfId="3370" xr:uid="{00000000-0005-0000-0000-0000BD0E0000}"/>
    <cellStyle name="표준 63 2 2 2" xfId="3699" xr:uid="{00000000-0005-0000-0000-0000BE0E0000}"/>
    <cellStyle name="표준 63 2 3" xfId="3479" xr:uid="{00000000-0005-0000-0000-0000BF0E0000}"/>
    <cellStyle name="표준 63 2 3 2" xfId="3808" xr:uid="{00000000-0005-0000-0000-0000C00E0000}"/>
    <cellStyle name="표준 63 2 4" xfId="3591" xr:uid="{00000000-0005-0000-0000-0000C10E0000}"/>
    <cellStyle name="표준 63 3" xfId="3316" xr:uid="{00000000-0005-0000-0000-0000C20E0000}"/>
    <cellStyle name="표준 63 3 2" xfId="3645" xr:uid="{00000000-0005-0000-0000-0000C30E0000}"/>
    <cellStyle name="표준 63 4" xfId="3425" xr:uid="{00000000-0005-0000-0000-0000C40E0000}"/>
    <cellStyle name="표준 63 4 2" xfId="3754" xr:uid="{00000000-0005-0000-0000-0000C50E0000}"/>
    <cellStyle name="표준 63 5" xfId="3537" xr:uid="{00000000-0005-0000-0000-0000C60E0000}"/>
    <cellStyle name="표준 64" xfId="3215" xr:uid="{00000000-0005-0000-0000-0000C70E0000}"/>
    <cellStyle name="표준 64 2" xfId="3275" xr:uid="{00000000-0005-0000-0000-0000C80E0000}"/>
    <cellStyle name="표준 64 2 2" xfId="3387" xr:uid="{00000000-0005-0000-0000-0000C90E0000}"/>
    <cellStyle name="표준 64 2 2 2" xfId="3716" xr:uid="{00000000-0005-0000-0000-0000CA0E0000}"/>
    <cellStyle name="표준 64 2 3" xfId="3496" xr:uid="{00000000-0005-0000-0000-0000CB0E0000}"/>
    <cellStyle name="표준 64 2 3 2" xfId="3825" xr:uid="{00000000-0005-0000-0000-0000CC0E0000}"/>
    <cellStyle name="표준 64 2 4" xfId="3608" xr:uid="{00000000-0005-0000-0000-0000CD0E0000}"/>
    <cellStyle name="표준 64 3" xfId="3333" xr:uid="{00000000-0005-0000-0000-0000CE0E0000}"/>
    <cellStyle name="표준 64 3 2" xfId="3662" xr:uid="{00000000-0005-0000-0000-0000CF0E0000}"/>
    <cellStyle name="표준 64 4" xfId="3442" xr:uid="{00000000-0005-0000-0000-0000D00E0000}"/>
    <cellStyle name="표준 64 4 2" xfId="3771" xr:uid="{00000000-0005-0000-0000-0000D10E0000}"/>
    <cellStyle name="표준 64 5" xfId="3554" xr:uid="{00000000-0005-0000-0000-0000D20E0000}"/>
    <cellStyle name="표준 65" xfId="3220" xr:uid="{00000000-0005-0000-0000-0000D30E0000}"/>
    <cellStyle name="표준 65 2" xfId="3278" xr:uid="{00000000-0005-0000-0000-0000D40E0000}"/>
    <cellStyle name="표준 65 2 2" xfId="3390" xr:uid="{00000000-0005-0000-0000-0000D50E0000}"/>
    <cellStyle name="표준 65 2 2 2" xfId="3719" xr:uid="{00000000-0005-0000-0000-0000D60E0000}"/>
    <cellStyle name="표준 65 2 3" xfId="3499" xr:uid="{00000000-0005-0000-0000-0000D70E0000}"/>
    <cellStyle name="표준 65 2 3 2" xfId="3828" xr:uid="{00000000-0005-0000-0000-0000D80E0000}"/>
    <cellStyle name="표준 65 2 4" xfId="3611" xr:uid="{00000000-0005-0000-0000-0000D90E0000}"/>
    <cellStyle name="표준 65 3" xfId="3336" xr:uid="{00000000-0005-0000-0000-0000DA0E0000}"/>
    <cellStyle name="표준 65 3 2" xfId="3665" xr:uid="{00000000-0005-0000-0000-0000DB0E0000}"/>
    <cellStyle name="표준 65 4" xfId="3445" xr:uid="{00000000-0005-0000-0000-0000DC0E0000}"/>
    <cellStyle name="표준 65 4 2" xfId="3774" xr:uid="{00000000-0005-0000-0000-0000DD0E0000}"/>
    <cellStyle name="표준 65 5" xfId="3557" xr:uid="{00000000-0005-0000-0000-0000DE0E0000}"/>
    <cellStyle name="표준 66" xfId="3238" xr:uid="{00000000-0005-0000-0000-0000DF0E0000}"/>
    <cellStyle name="표준 67" xfId="3237" xr:uid="{00000000-0005-0000-0000-0000E00E0000}"/>
    <cellStyle name="표준 67 2" xfId="3353" xr:uid="{00000000-0005-0000-0000-0000E10E0000}"/>
    <cellStyle name="표준 67 2 2" xfId="3682" xr:uid="{00000000-0005-0000-0000-0000E20E0000}"/>
    <cellStyle name="표준 67 3" xfId="3462" xr:uid="{00000000-0005-0000-0000-0000E30E0000}"/>
    <cellStyle name="표준 67 3 2" xfId="3791" xr:uid="{00000000-0005-0000-0000-0000E40E0000}"/>
    <cellStyle name="표준 67 4" xfId="3574" xr:uid="{00000000-0005-0000-0000-0000E50E0000}"/>
    <cellStyle name="표준 68" xfId="3296" xr:uid="{00000000-0005-0000-0000-0000E60E0000}"/>
    <cellStyle name="표준 69" xfId="3295" xr:uid="{00000000-0005-0000-0000-0000E70E0000}"/>
    <cellStyle name="표준 69 2" xfId="3628" xr:uid="{00000000-0005-0000-0000-0000E80E0000}"/>
    <cellStyle name="표준 7" xfId="3092" xr:uid="{00000000-0005-0000-0000-0000E90E0000}"/>
    <cellStyle name="표준 7 2" xfId="3093" xr:uid="{00000000-0005-0000-0000-0000EA0E0000}"/>
    <cellStyle name="표준 7 3" xfId="3094" xr:uid="{00000000-0005-0000-0000-0000EB0E0000}"/>
    <cellStyle name="표준 7 4" xfId="3095" xr:uid="{00000000-0005-0000-0000-0000EC0E0000}"/>
    <cellStyle name="표준 7 5" xfId="3096" xr:uid="{00000000-0005-0000-0000-0000ED0E0000}"/>
    <cellStyle name="표준 7 6" xfId="3097" xr:uid="{00000000-0005-0000-0000-0000EE0E0000}"/>
    <cellStyle name="표준 7 7" xfId="3098" xr:uid="{00000000-0005-0000-0000-0000EF0E0000}"/>
    <cellStyle name="표준 70" xfId="3407" xr:uid="{00000000-0005-0000-0000-0000F00E0000}"/>
    <cellStyle name="표준 70 2" xfId="3736" xr:uid="{00000000-0005-0000-0000-0000F10E0000}"/>
    <cellStyle name="표준 71" xfId="3408" xr:uid="{00000000-0005-0000-0000-0000F20E0000}"/>
    <cellStyle name="표준 71 2" xfId="3737" xr:uid="{00000000-0005-0000-0000-0000F30E0000}"/>
    <cellStyle name="표준 72" xfId="3517" xr:uid="{00000000-0005-0000-0000-0000F40E0000}"/>
    <cellStyle name="표준 73" xfId="3516" xr:uid="{00000000-0005-0000-0000-0000F50E0000}"/>
    <cellStyle name="표준 74" xfId="9" xr:uid="{00000000-0005-0000-0000-0000F60E0000}"/>
    <cellStyle name="표준 8" xfId="3099" xr:uid="{00000000-0005-0000-0000-0000F70E0000}"/>
    <cellStyle name="표준 8 2" xfId="3100" xr:uid="{00000000-0005-0000-0000-0000F80E0000}"/>
    <cellStyle name="표준 8 3" xfId="3101" xr:uid="{00000000-0005-0000-0000-0000F90E0000}"/>
    <cellStyle name="표준 8 4" xfId="3102" xr:uid="{00000000-0005-0000-0000-0000FA0E0000}"/>
    <cellStyle name="표준 9" xfId="3113" xr:uid="{00000000-0005-0000-0000-0000FB0E0000}"/>
    <cellStyle name="표준 9 2" xfId="3103" xr:uid="{00000000-0005-0000-0000-0000FC0E0000}"/>
    <cellStyle name="표준 9 3" xfId="3104" xr:uid="{00000000-0005-0000-0000-0000FD0E0000}"/>
    <cellStyle name="표준 9 4" xfId="3105" xr:uid="{00000000-0005-0000-0000-0000FE0E0000}"/>
    <cellStyle name="표준 9 5" xfId="3106" xr:uid="{00000000-0005-0000-0000-0000FF0E0000}"/>
    <cellStyle name="표준 9 6" xfId="3107" xr:uid="{00000000-0005-0000-0000-0000000F0000}"/>
    <cellStyle name="표준 9 7" xfId="3108" xr:uid="{00000000-0005-0000-0000-0000010F0000}"/>
    <cellStyle name="표준 9 8" xfId="3109" xr:uid="{00000000-0005-0000-0000-0000020F0000}"/>
    <cellStyle name="標準_Sheet1" xfId="3110" xr:uid="{00000000-0005-0000-0000-0000030F0000}"/>
    <cellStyle name="桁区切り 15" xfId="3111" xr:uid="{00000000-0005-0000-0000-000004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1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1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1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SLIDER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'01'!$L$6:$L$27</c:f>
              <c:numCache>
                <c:formatCode>_(* #,##0_);_(* \(#,##0\);_(* "-"_);_(@_)</c:formatCode>
                <c:ptCount val="22"/>
                <c:pt idx="0">
                  <c:v>11584</c:v>
                </c:pt>
                <c:pt idx="2">
                  <c:v>3474</c:v>
                </c:pt>
                <c:pt idx="3">
                  <c:v>3360</c:v>
                </c:pt>
                <c:pt idx="4">
                  <c:v>10206</c:v>
                </c:pt>
                <c:pt idx="6">
                  <c:v>5313</c:v>
                </c:pt>
                <c:pt idx="8">
                  <c:v>290</c:v>
                </c:pt>
                <c:pt idx="10">
                  <c:v>11860</c:v>
                </c:pt>
                <c:pt idx="12">
                  <c:v>9952</c:v>
                </c:pt>
                <c:pt idx="13">
                  <c:v>2783</c:v>
                </c:pt>
                <c:pt idx="14">
                  <c:v>10236</c:v>
                </c:pt>
                <c:pt idx="15">
                  <c:v>56540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B-49AF-A9BD-BC6C35A9F7D7}"/>
            </c:ext>
          </c:extLst>
        </c:ser>
        <c:ser>
          <c:idx val="1"/>
          <c:order val="1"/>
          <c:tx>
            <c:v>계획</c:v>
          </c:tx>
          <c:cat>
            <c:strRef>
              <c:f>'01'!$D$6:$D$27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SLIDER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'01'!$J$6:$J$27</c:f>
              <c:numCache>
                <c:formatCode>_(* #,##0_);_(* \(#,##0\);_(* "-"_);_(@_)</c:formatCode>
                <c:ptCount val="22"/>
                <c:pt idx="0">
                  <c:v>11584</c:v>
                </c:pt>
                <c:pt idx="1">
                  <c:v>1500</c:v>
                </c:pt>
                <c:pt idx="2">
                  <c:v>3474</c:v>
                </c:pt>
                <c:pt idx="3">
                  <c:v>3360</c:v>
                </c:pt>
                <c:pt idx="4">
                  <c:v>10206</c:v>
                </c:pt>
                <c:pt idx="5">
                  <c:v>1460</c:v>
                </c:pt>
                <c:pt idx="6">
                  <c:v>5313</c:v>
                </c:pt>
                <c:pt idx="7">
                  <c:v>3204</c:v>
                </c:pt>
                <c:pt idx="8">
                  <c:v>290</c:v>
                </c:pt>
                <c:pt idx="9">
                  <c:v>12356</c:v>
                </c:pt>
                <c:pt idx="10">
                  <c:v>11860</c:v>
                </c:pt>
                <c:pt idx="11">
                  <c:v>1472</c:v>
                </c:pt>
                <c:pt idx="12">
                  <c:v>9952</c:v>
                </c:pt>
                <c:pt idx="13">
                  <c:v>2783</c:v>
                </c:pt>
                <c:pt idx="14">
                  <c:v>10236</c:v>
                </c:pt>
                <c:pt idx="15">
                  <c:v>56540</c:v>
                </c:pt>
                <c:pt idx="16">
                  <c:v>0</c:v>
                </c:pt>
                <c:pt idx="17">
                  <c:v>0</c:v>
                </c:pt>
                <c:pt idx="18">
                  <c:v>7084</c:v>
                </c:pt>
                <c:pt idx="19">
                  <c:v>9988</c:v>
                </c:pt>
                <c:pt idx="20">
                  <c:v>11600</c:v>
                </c:pt>
                <c:pt idx="21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B-49AF-A9BD-BC6C35A9F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F83-47FD-8FE9-D38A45EE2D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3-47FD-8FE9-D38A45EE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F83-47FD-8FE9-D38A45EE2DB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3-47FD-8FE9-D38A45EE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45E-4413-8CE0-AE369B4B4A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E-4413-8CE0-AE369B4B4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45E-4413-8CE0-AE369B4B4A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E-4413-8CE0-AE369B4B4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'24'!$L$6:$L$27</c:f>
              <c:numCache>
                <c:formatCode>_(* #,##0_);_(* \(#,##0\);_(* "-"_);_(@_)</c:formatCode>
                <c:ptCount val="22"/>
                <c:pt idx="1">
                  <c:v>4786</c:v>
                </c:pt>
                <c:pt idx="2">
                  <c:v>6610</c:v>
                </c:pt>
                <c:pt idx="3">
                  <c:v>10904</c:v>
                </c:pt>
                <c:pt idx="4">
                  <c:v>5664</c:v>
                </c:pt>
                <c:pt idx="5">
                  <c:v>5873</c:v>
                </c:pt>
                <c:pt idx="7">
                  <c:v>11574</c:v>
                </c:pt>
                <c:pt idx="10">
                  <c:v>4988</c:v>
                </c:pt>
                <c:pt idx="11">
                  <c:v>2730</c:v>
                </c:pt>
                <c:pt idx="12">
                  <c:v>10478</c:v>
                </c:pt>
                <c:pt idx="13">
                  <c:v>1259</c:v>
                </c:pt>
                <c:pt idx="14">
                  <c:v>5171</c:v>
                </c:pt>
                <c:pt idx="15">
                  <c:v>50740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3-423A-B655-BD9E1FB06226}"/>
            </c:ext>
          </c:extLst>
        </c:ser>
        <c:ser>
          <c:idx val="1"/>
          <c:order val="1"/>
          <c:tx>
            <c:v>계획</c:v>
          </c:tx>
          <c:cat>
            <c:strRef>
              <c:f>'24'!$D$6:$D$27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'24'!$J$6:$J$27</c:f>
              <c:numCache>
                <c:formatCode>_(* #,##0_);_(* \(#,##0\);_(* "-"_);_(@_)</c:formatCode>
                <c:ptCount val="22"/>
                <c:pt idx="0">
                  <c:v>150</c:v>
                </c:pt>
                <c:pt idx="1">
                  <c:v>4786</c:v>
                </c:pt>
                <c:pt idx="2">
                  <c:v>6610</c:v>
                </c:pt>
                <c:pt idx="3">
                  <c:v>10904</c:v>
                </c:pt>
                <c:pt idx="4">
                  <c:v>5664</c:v>
                </c:pt>
                <c:pt idx="5">
                  <c:v>5873</c:v>
                </c:pt>
                <c:pt idx="6">
                  <c:v>1736</c:v>
                </c:pt>
                <c:pt idx="7">
                  <c:v>11574</c:v>
                </c:pt>
                <c:pt idx="8">
                  <c:v>750</c:v>
                </c:pt>
                <c:pt idx="9">
                  <c:v>12356</c:v>
                </c:pt>
                <c:pt idx="10">
                  <c:v>4988</c:v>
                </c:pt>
                <c:pt idx="11">
                  <c:v>2730</c:v>
                </c:pt>
                <c:pt idx="12">
                  <c:v>10478</c:v>
                </c:pt>
                <c:pt idx="13">
                  <c:v>1259</c:v>
                </c:pt>
                <c:pt idx="14">
                  <c:v>5171</c:v>
                </c:pt>
                <c:pt idx="15">
                  <c:v>50740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3-423A-B655-BD9E1FB06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'24'!$AD$6:$AD$27</c:f>
              <c:strCache>
                <c:ptCount val="22"/>
                <c:pt idx="0">
                  <c:v>0%</c:v>
                </c:pt>
                <c:pt idx="1">
                  <c:v>88%</c:v>
                </c:pt>
                <c:pt idx="2">
                  <c:v>58%</c:v>
                </c:pt>
                <c:pt idx="3">
                  <c:v>100%</c:v>
                </c:pt>
                <c:pt idx="4">
                  <c:v>100%</c:v>
                </c:pt>
                <c:pt idx="5">
                  <c:v>100%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58%</c:v>
                </c:pt>
                <c:pt idx="12">
                  <c:v>100%</c:v>
                </c:pt>
                <c:pt idx="13">
                  <c:v>42%</c:v>
                </c:pt>
                <c:pt idx="14">
                  <c:v>100%</c:v>
                </c:pt>
                <c:pt idx="15">
                  <c:v>88%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'24'!$AD$6:$AD$27</c:f>
              <c:numCache>
                <c:formatCode>0%</c:formatCode>
                <c:ptCount val="22"/>
                <c:pt idx="0">
                  <c:v>0</c:v>
                </c:pt>
                <c:pt idx="1">
                  <c:v>0.875</c:v>
                </c:pt>
                <c:pt idx="2">
                  <c:v>0.58333333333333337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0.58333333333333337</c:v>
                </c:pt>
                <c:pt idx="12">
                  <c:v>1</c:v>
                </c:pt>
                <c:pt idx="13">
                  <c:v>0.41666666666666669</c:v>
                </c:pt>
                <c:pt idx="14">
                  <c:v>1</c:v>
                </c:pt>
                <c:pt idx="15">
                  <c:v>0.875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A-44A8-9794-669FEEABE39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A-44A8-9794-669FEEABE39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'24'!$AE$6:$AE$27</c:f>
              <c:numCache>
                <c:formatCode>0%</c:formatCode>
                <c:ptCount val="22"/>
                <c:pt idx="0">
                  <c:v>0.46969696969696972</c:v>
                </c:pt>
                <c:pt idx="1">
                  <c:v>0.46969696969696972</c:v>
                </c:pt>
                <c:pt idx="2">
                  <c:v>0.46969696969696972</c:v>
                </c:pt>
                <c:pt idx="3">
                  <c:v>0.46969696969696972</c:v>
                </c:pt>
                <c:pt idx="4">
                  <c:v>0.46969696969696972</c:v>
                </c:pt>
                <c:pt idx="5">
                  <c:v>0.46969696969696972</c:v>
                </c:pt>
                <c:pt idx="6">
                  <c:v>0.46969696969696972</c:v>
                </c:pt>
                <c:pt idx="7">
                  <c:v>0.46969696969696972</c:v>
                </c:pt>
                <c:pt idx="8">
                  <c:v>0.46969696969696972</c:v>
                </c:pt>
                <c:pt idx="9">
                  <c:v>0.46969696969696972</c:v>
                </c:pt>
                <c:pt idx="10">
                  <c:v>0.46969696969696972</c:v>
                </c:pt>
                <c:pt idx="11">
                  <c:v>0.46969696969696972</c:v>
                </c:pt>
                <c:pt idx="12">
                  <c:v>0.46969696969696972</c:v>
                </c:pt>
                <c:pt idx="13">
                  <c:v>0.46969696969696972</c:v>
                </c:pt>
                <c:pt idx="14">
                  <c:v>0.46969696969696972</c:v>
                </c:pt>
                <c:pt idx="15">
                  <c:v>0.46969696969696972</c:v>
                </c:pt>
                <c:pt idx="16">
                  <c:v>0.46969696969696972</c:v>
                </c:pt>
                <c:pt idx="17">
                  <c:v>0.46969696969696972</c:v>
                </c:pt>
                <c:pt idx="18">
                  <c:v>0.46969696969696972</c:v>
                </c:pt>
                <c:pt idx="19">
                  <c:v>0.46969696969696972</c:v>
                </c:pt>
                <c:pt idx="20">
                  <c:v>0.46969696969696972</c:v>
                </c:pt>
                <c:pt idx="21">
                  <c:v>0.46969696969696972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A-44A8-9794-669FEEABE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'24'!$L$6:$L$27</c:f>
              <c:numCache>
                <c:formatCode>_(* #,##0_);_(* \(#,##0\);_(* "-"_);_(@_)</c:formatCode>
                <c:ptCount val="22"/>
                <c:pt idx="1">
                  <c:v>4786</c:v>
                </c:pt>
                <c:pt idx="2">
                  <c:v>6610</c:v>
                </c:pt>
                <c:pt idx="3">
                  <c:v>10904</c:v>
                </c:pt>
                <c:pt idx="4">
                  <c:v>5664</c:v>
                </c:pt>
                <c:pt idx="5">
                  <c:v>5873</c:v>
                </c:pt>
                <c:pt idx="7">
                  <c:v>11574</c:v>
                </c:pt>
                <c:pt idx="10">
                  <c:v>4988</c:v>
                </c:pt>
                <c:pt idx="11">
                  <c:v>2730</c:v>
                </c:pt>
                <c:pt idx="12">
                  <c:v>10478</c:v>
                </c:pt>
                <c:pt idx="13">
                  <c:v>1259</c:v>
                </c:pt>
                <c:pt idx="14">
                  <c:v>5171</c:v>
                </c:pt>
                <c:pt idx="15">
                  <c:v>50740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9-4067-96F9-82C0E9AF0E23}"/>
            </c:ext>
          </c:extLst>
        </c:ser>
        <c:ser>
          <c:idx val="1"/>
          <c:order val="1"/>
          <c:tx>
            <c:v>계획</c:v>
          </c:tx>
          <c:cat>
            <c:strRef>
              <c:f>'24'!$D$6:$D$27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'24'!$J$6:$J$27</c:f>
              <c:numCache>
                <c:formatCode>_(* #,##0_);_(* \(#,##0\);_(* "-"_);_(@_)</c:formatCode>
                <c:ptCount val="22"/>
                <c:pt idx="0">
                  <c:v>150</c:v>
                </c:pt>
                <c:pt idx="1">
                  <c:v>4786</c:v>
                </c:pt>
                <c:pt idx="2">
                  <c:v>6610</c:v>
                </c:pt>
                <c:pt idx="3">
                  <c:v>10904</c:v>
                </c:pt>
                <c:pt idx="4">
                  <c:v>5664</c:v>
                </c:pt>
                <c:pt idx="5">
                  <c:v>5873</c:v>
                </c:pt>
                <c:pt idx="6">
                  <c:v>1736</c:v>
                </c:pt>
                <c:pt idx="7">
                  <c:v>11574</c:v>
                </c:pt>
                <c:pt idx="8">
                  <c:v>750</c:v>
                </c:pt>
                <c:pt idx="9">
                  <c:v>12356</c:v>
                </c:pt>
                <c:pt idx="10">
                  <c:v>4988</c:v>
                </c:pt>
                <c:pt idx="11">
                  <c:v>2730</c:v>
                </c:pt>
                <c:pt idx="12">
                  <c:v>10478</c:v>
                </c:pt>
                <c:pt idx="13">
                  <c:v>1259</c:v>
                </c:pt>
                <c:pt idx="14">
                  <c:v>5171</c:v>
                </c:pt>
                <c:pt idx="15">
                  <c:v>50740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9-4067-96F9-82C0E9AF0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'24'!$AD$6:$AD$27</c:f>
              <c:strCache>
                <c:ptCount val="22"/>
                <c:pt idx="0">
                  <c:v>0%</c:v>
                </c:pt>
                <c:pt idx="1">
                  <c:v>88%</c:v>
                </c:pt>
                <c:pt idx="2">
                  <c:v>58%</c:v>
                </c:pt>
                <c:pt idx="3">
                  <c:v>100%</c:v>
                </c:pt>
                <c:pt idx="4">
                  <c:v>100%</c:v>
                </c:pt>
                <c:pt idx="5">
                  <c:v>100%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58%</c:v>
                </c:pt>
                <c:pt idx="12">
                  <c:v>100%</c:v>
                </c:pt>
                <c:pt idx="13">
                  <c:v>42%</c:v>
                </c:pt>
                <c:pt idx="14">
                  <c:v>100%</c:v>
                </c:pt>
                <c:pt idx="15">
                  <c:v>88%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'24'!$AD$6:$AD$27</c:f>
              <c:numCache>
                <c:formatCode>0%</c:formatCode>
                <c:ptCount val="22"/>
                <c:pt idx="0">
                  <c:v>0</c:v>
                </c:pt>
                <c:pt idx="1">
                  <c:v>0.875</c:v>
                </c:pt>
                <c:pt idx="2">
                  <c:v>0.58333333333333337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0.58333333333333337</c:v>
                </c:pt>
                <c:pt idx="12">
                  <c:v>1</c:v>
                </c:pt>
                <c:pt idx="13">
                  <c:v>0.41666666666666669</c:v>
                </c:pt>
                <c:pt idx="14">
                  <c:v>1</c:v>
                </c:pt>
                <c:pt idx="15">
                  <c:v>0.875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5-49C0-B198-C6B530C554D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35-49C0-B198-C6B530C554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'24'!$AE$6:$AE$27</c:f>
              <c:numCache>
                <c:formatCode>0%</c:formatCode>
                <c:ptCount val="22"/>
                <c:pt idx="0">
                  <c:v>0.46969696969696972</c:v>
                </c:pt>
                <c:pt idx="1">
                  <c:v>0.46969696969696972</c:v>
                </c:pt>
                <c:pt idx="2">
                  <c:v>0.46969696969696972</c:v>
                </c:pt>
                <c:pt idx="3">
                  <c:v>0.46969696969696972</c:v>
                </c:pt>
                <c:pt idx="4">
                  <c:v>0.46969696969696972</c:v>
                </c:pt>
                <c:pt idx="5">
                  <c:v>0.46969696969696972</c:v>
                </c:pt>
                <c:pt idx="6">
                  <c:v>0.46969696969696972</c:v>
                </c:pt>
                <c:pt idx="7">
                  <c:v>0.46969696969696972</c:v>
                </c:pt>
                <c:pt idx="8">
                  <c:v>0.46969696969696972</c:v>
                </c:pt>
                <c:pt idx="9">
                  <c:v>0.46969696969696972</c:v>
                </c:pt>
                <c:pt idx="10">
                  <c:v>0.46969696969696972</c:v>
                </c:pt>
                <c:pt idx="11">
                  <c:v>0.46969696969696972</c:v>
                </c:pt>
                <c:pt idx="12">
                  <c:v>0.46969696969696972</c:v>
                </c:pt>
                <c:pt idx="13">
                  <c:v>0.46969696969696972</c:v>
                </c:pt>
                <c:pt idx="14">
                  <c:v>0.46969696969696972</c:v>
                </c:pt>
                <c:pt idx="15">
                  <c:v>0.46969696969696972</c:v>
                </c:pt>
                <c:pt idx="16">
                  <c:v>0.46969696969696972</c:v>
                </c:pt>
                <c:pt idx="17">
                  <c:v>0.46969696969696972</c:v>
                </c:pt>
                <c:pt idx="18">
                  <c:v>0.46969696969696972</c:v>
                </c:pt>
                <c:pt idx="19">
                  <c:v>0.46969696969696972</c:v>
                </c:pt>
                <c:pt idx="20">
                  <c:v>0.46969696969696972</c:v>
                </c:pt>
                <c:pt idx="21">
                  <c:v>0.46969696969696972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5-49C0-B198-C6B530C55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37E-4DD6-A429-49845E6127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E-4DD6-A429-49845E612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37E-4DD6-A429-49845E6127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7E-4DD6-A429-49845E612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2">
                  <c:v>ACTUATOR</c:v>
                </c:pt>
                <c:pt idx="13">
                  <c:v>COVER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'25'!$L$6:$L$27</c:f>
              <c:numCache>
                <c:formatCode>_(* #,##0_);_(* \(#,##0\);_(* "-"_);_(@_)</c:formatCode>
                <c:ptCount val="22"/>
                <c:pt idx="1">
                  <c:v>5910</c:v>
                </c:pt>
                <c:pt idx="2">
                  <c:v>11708</c:v>
                </c:pt>
                <c:pt idx="3">
                  <c:v>11636</c:v>
                </c:pt>
                <c:pt idx="4">
                  <c:v>5413</c:v>
                </c:pt>
                <c:pt idx="7">
                  <c:v>8654</c:v>
                </c:pt>
                <c:pt idx="10">
                  <c:v>5183</c:v>
                </c:pt>
                <c:pt idx="11">
                  <c:v>26370</c:v>
                </c:pt>
                <c:pt idx="12">
                  <c:v>11296</c:v>
                </c:pt>
                <c:pt idx="13">
                  <c:v>4698</c:v>
                </c:pt>
                <c:pt idx="14">
                  <c:v>4481</c:v>
                </c:pt>
                <c:pt idx="15">
                  <c:v>61508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6-40D2-9C44-E61C204860E3}"/>
            </c:ext>
          </c:extLst>
        </c:ser>
        <c:ser>
          <c:idx val="1"/>
          <c:order val="1"/>
          <c:tx>
            <c:v>계획</c:v>
          </c:tx>
          <c:cat>
            <c:strRef>
              <c:f>'25'!$D$6:$D$27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2">
                  <c:v>ACTUATOR</c:v>
                </c:pt>
                <c:pt idx="13">
                  <c:v>COVER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'25'!$J$6:$J$27</c:f>
              <c:numCache>
                <c:formatCode>_(* #,##0_);_(* \(#,##0\);_(* "-"_);_(@_)</c:formatCode>
                <c:ptCount val="22"/>
                <c:pt idx="0">
                  <c:v>150</c:v>
                </c:pt>
                <c:pt idx="1">
                  <c:v>5910</c:v>
                </c:pt>
                <c:pt idx="2">
                  <c:v>11708</c:v>
                </c:pt>
                <c:pt idx="3">
                  <c:v>11636</c:v>
                </c:pt>
                <c:pt idx="4">
                  <c:v>5413</c:v>
                </c:pt>
                <c:pt idx="5">
                  <c:v>5873</c:v>
                </c:pt>
                <c:pt idx="6">
                  <c:v>1736</c:v>
                </c:pt>
                <c:pt idx="7">
                  <c:v>8654</c:v>
                </c:pt>
                <c:pt idx="8">
                  <c:v>750</c:v>
                </c:pt>
                <c:pt idx="9">
                  <c:v>12356</c:v>
                </c:pt>
                <c:pt idx="10">
                  <c:v>5183</c:v>
                </c:pt>
                <c:pt idx="11">
                  <c:v>26370</c:v>
                </c:pt>
                <c:pt idx="12">
                  <c:v>11296</c:v>
                </c:pt>
                <c:pt idx="13">
                  <c:v>4698</c:v>
                </c:pt>
                <c:pt idx="14">
                  <c:v>4481</c:v>
                </c:pt>
                <c:pt idx="15">
                  <c:v>50740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6-40D2-9C44-E61C2048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'25'!$AD$6:$AD$27</c:f>
              <c:strCache>
                <c:ptCount val="22"/>
                <c:pt idx="0">
                  <c:v>0%</c:v>
                </c:pt>
                <c:pt idx="1">
                  <c:v>100%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0%</c:v>
                </c:pt>
                <c:pt idx="6">
                  <c:v>0%</c:v>
                </c:pt>
                <c:pt idx="7">
                  <c:v>92%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83%</c:v>
                </c:pt>
                <c:pt idx="12">
                  <c:v>100%</c:v>
                </c:pt>
                <c:pt idx="13">
                  <c:v>96%</c:v>
                </c:pt>
                <c:pt idx="14">
                  <c:v>83%</c:v>
                </c:pt>
                <c:pt idx="15">
                  <c:v>121%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2">
                  <c:v>ACTUATOR</c:v>
                </c:pt>
                <c:pt idx="13">
                  <c:v>COVER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'25'!$AD$6:$AD$27</c:f>
              <c:numCache>
                <c:formatCode>0%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0.91666666666666663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0.83333333333333337</c:v>
                </c:pt>
                <c:pt idx="12">
                  <c:v>1</c:v>
                </c:pt>
                <c:pt idx="13">
                  <c:v>0.95833333333333337</c:v>
                </c:pt>
                <c:pt idx="14">
                  <c:v>0.83333333333333337</c:v>
                </c:pt>
                <c:pt idx="15">
                  <c:v>1.2122191564840363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D-4C35-BCFE-A0368C85577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AD-4C35-BCFE-A0368C8557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2">
                  <c:v>ACTUATOR</c:v>
                </c:pt>
                <c:pt idx="13">
                  <c:v>COVER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'25'!$AE$6:$AE$27</c:f>
              <c:numCache>
                <c:formatCode>0%</c:formatCode>
                <c:ptCount val="22"/>
                <c:pt idx="0">
                  <c:v>0.4888129919613956</c:v>
                </c:pt>
                <c:pt idx="1">
                  <c:v>0.4888129919613956</c:v>
                </c:pt>
                <c:pt idx="2">
                  <c:v>0.4888129919613956</c:v>
                </c:pt>
                <c:pt idx="3">
                  <c:v>0.4888129919613956</c:v>
                </c:pt>
                <c:pt idx="4">
                  <c:v>0.4888129919613956</c:v>
                </c:pt>
                <c:pt idx="5">
                  <c:v>0.4888129919613956</c:v>
                </c:pt>
                <c:pt idx="6">
                  <c:v>0.4888129919613956</c:v>
                </c:pt>
                <c:pt idx="7">
                  <c:v>0.4888129919613956</c:v>
                </c:pt>
                <c:pt idx="8">
                  <c:v>0.4888129919613956</c:v>
                </c:pt>
                <c:pt idx="9">
                  <c:v>0.4888129919613956</c:v>
                </c:pt>
                <c:pt idx="10">
                  <c:v>0.4888129919613956</c:v>
                </c:pt>
                <c:pt idx="11">
                  <c:v>0.4888129919613956</c:v>
                </c:pt>
                <c:pt idx="12">
                  <c:v>0.4888129919613956</c:v>
                </c:pt>
                <c:pt idx="13">
                  <c:v>0.4888129919613956</c:v>
                </c:pt>
                <c:pt idx="14">
                  <c:v>0.4888129919613956</c:v>
                </c:pt>
                <c:pt idx="15">
                  <c:v>0.4888129919613956</c:v>
                </c:pt>
                <c:pt idx="16">
                  <c:v>0.4888129919613956</c:v>
                </c:pt>
                <c:pt idx="17">
                  <c:v>0.4888129919613956</c:v>
                </c:pt>
                <c:pt idx="18">
                  <c:v>0.4888129919613956</c:v>
                </c:pt>
                <c:pt idx="19">
                  <c:v>0.4888129919613956</c:v>
                </c:pt>
                <c:pt idx="20">
                  <c:v>0.4888129919613956</c:v>
                </c:pt>
                <c:pt idx="21">
                  <c:v>0.4888129919613956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D-4C35-BCFE-A0368C85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2">
                  <c:v>ACTUATOR</c:v>
                </c:pt>
                <c:pt idx="13">
                  <c:v>COVER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'25'!$L$6:$L$27</c:f>
              <c:numCache>
                <c:formatCode>_(* #,##0_);_(* \(#,##0\);_(* "-"_);_(@_)</c:formatCode>
                <c:ptCount val="22"/>
                <c:pt idx="1">
                  <c:v>5910</c:v>
                </c:pt>
                <c:pt idx="2">
                  <c:v>11708</c:v>
                </c:pt>
                <c:pt idx="3">
                  <c:v>11636</c:v>
                </c:pt>
                <c:pt idx="4">
                  <c:v>5413</c:v>
                </c:pt>
                <c:pt idx="7">
                  <c:v>8654</c:v>
                </c:pt>
                <c:pt idx="10">
                  <c:v>5183</c:v>
                </c:pt>
                <c:pt idx="11">
                  <c:v>26370</c:v>
                </c:pt>
                <c:pt idx="12">
                  <c:v>11296</c:v>
                </c:pt>
                <c:pt idx="13">
                  <c:v>4698</c:v>
                </c:pt>
                <c:pt idx="14">
                  <c:v>4481</c:v>
                </c:pt>
                <c:pt idx="15">
                  <c:v>61508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4-4C30-BF77-F8BA8833E5FB}"/>
            </c:ext>
          </c:extLst>
        </c:ser>
        <c:ser>
          <c:idx val="1"/>
          <c:order val="1"/>
          <c:tx>
            <c:v>계획</c:v>
          </c:tx>
          <c:cat>
            <c:strRef>
              <c:f>'25'!$D$6:$D$27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2">
                  <c:v>ACTUATOR</c:v>
                </c:pt>
                <c:pt idx="13">
                  <c:v>COVER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'25'!$J$6:$J$27</c:f>
              <c:numCache>
                <c:formatCode>_(* #,##0_);_(* \(#,##0\);_(* "-"_);_(@_)</c:formatCode>
                <c:ptCount val="22"/>
                <c:pt idx="0">
                  <c:v>150</c:v>
                </c:pt>
                <c:pt idx="1">
                  <c:v>5910</c:v>
                </c:pt>
                <c:pt idx="2">
                  <c:v>11708</c:v>
                </c:pt>
                <c:pt idx="3">
                  <c:v>11636</c:v>
                </c:pt>
                <c:pt idx="4">
                  <c:v>5413</c:v>
                </c:pt>
                <c:pt idx="5">
                  <c:v>5873</c:v>
                </c:pt>
                <c:pt idx="6">
                  <c:v>1736</c:v>
                </c:pt>
                <c:pt idx="7">
                  <c:v>8654</c:v>
                </c:pt>
                <c:pt idx="8">
                  <c:v>750</c:v>
                </c:pt>
                <c:pt idx="9">
                  <c:v>12356</c:v>
                </c:pt>
                <c:pt idx="10">
                  <c:v>5183</c:v>
                </c:pt>
                <c:pt idx="11">
                  <c:v>26370</c:v>
                </c:pt>
                <c:pt idx="12">
                  <c:v>11296</c:v>
                </c:pt>
                <c:pt idx="13">
                  <c:v>4698</c:v>
                </c:pt>
                <c:pt idx="14">
                  <c:v>4481</c:v>
                </c:pt>
                <c:pt idx="15">
                  <c:v>50740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4-4C30-BF77-F8BA8833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'25'!$AD$6:$AD$27</c:f>
              <c:strCache>
                <c:ptCount val="22"/>
                <c:pt idx="0">
                  <c:v>0%</c:v>
                </c:pt>
                <c:pt idx="1">
                  <c:v>100%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0%</c:v>
                </c:pt>
                <c:pt idx="6">
                  <c:v>0%</c:v>
                </c:pt>
                <c:pt idx="7">
                  <c:v>92%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83%</c:v>
                </c:pt>
                <c:pt idx="12">
                  <c:v>100%</c:v>
                </c:pt>
                <c:pt idx="13">
                  <c:v>96%</c:v>
                </c:pt>
                <c:pt idx="14">
                  <c:v>83%</c:v>
                </c:pt>
                <c:pt idx="15">
                  <c:v>121%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2">
                  <c:v>ACTUATOR</c:v>
                </c:pt>
                <c:pt idx="13">
                  <c:v>COVER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'25'!$AD$6:$AD$27</c:f>
              <c:numCache>
                <c:formatCode>0%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0.91666666666666663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0.83333333333333337</c:v>
                </c:pt>
                <c:pt idx="12">
                  <c:v>1</c:v>
                </c:pt>
                <c:pt idx="13">
                  <c:v>0.95833333333333337</c:v>
                </c:pt>
                <c:pt idx="14">
                  <c:v>0.83333333333333337</c:v>
                </c:pt>
                <c:pt idx="15">
                  <c:v>1.2122191564840363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3-4D67-AFCD-60707D53E1A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43-4D67-AFCD-60707D53E1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2">
                  <c:v>ACTUATOR</c:v>
                </c:pt>
                <c:pt idx="13">
                  <c:v>COVER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'25'!$AE$6:$AE$27</c:f>
              <c:numCache>
                <c:formatCode>0%</c:formatCode>
                <c:ptCount val="22"/>
                <c:pt idx="0">
                  <c:v>0.4888129919613956</c:v>
                </c:pt>
                <c:pt idx="1">
                  <c:v>0.4888129919613956</c:v>
                </c:pt>
                <c:pt idx="2">
                  <c:v>0.4888129919613956</c:v>
                </c:pt>
                <c:pt idx="3">
                  <c:v>0.4888129919613956</c:v>
                </c:pt>
                <c:pt idx="4">
                  <c:v>0.4888129919613956</c:v>
                </c:pt>
                <c:pt idx="5">
                  <c:v>0.4888129919613956</c:v>
                </c:pt>
                <c:pt idx="6">
                  <c:v>0.4888129919613956</c:v>
                </c:pt>
                <c:pt idx="7">
                  <c:v>0.4888129919613956</c:v>
                </c:pt>
                <c:pt idx="8">
                  <c:v>0.4888129919613956</c:v>
                </c:pt>
                <c:pt idx="9">
                  <c:v>0.4888129919613956</c:v>
                </c:pt>
                <c:pt idx="10">
                  <c:v>0.4888129919613956</c:v>
                </c:pt>
                <c:pt idx="11">
                  <c:v>0.4888129919613956</c:v>
                </c:pt>
                <c:pt idx="12">
                  <c:v>0.4888129919613956</c:v>
                </c:pt>
                <c:pt idx="13">
                  <c:v>0.4888129919613956</c:v>
                </c:pt>
                <c:pt idx="14">
                  <c:v>0.4888129919613956</c:v>
                </c:pt>
                <c:pt idx="15">
                  <c:v>0.4888129919613956</c:v>
                </c:pt>
                <c:pt idx="16">
                  <c:v>0.4888129919613956</c:v>
                </c:pt>
                <c:pt idx="17">
                  <c:v>0.4888129919613956</c:v>
                </c:pt>
                <c:pt idx="18">
                  <c:v>0.4888129919613956</c:v>
                </c:pt>
                <c:pt idx="19">
                  <c:v>0.4888129919613956</c:v>
                </c:pt>
                <c:pt idx="20">
                  <c:v>0.4888129919613956</c:v>
                </c:pt>
                <c:pt idx="21">
                  <c:v>0.4888129919613956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3-4D67-AFCD-60707D53E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BASE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'04'!$L$6:$L$27</c:f>
              <c:numCache>
                <c:formatCode>_(* #,##0_);_(* \(#,##0\);_(* "-"_);_(@_)</c:formatCode>
                <c:ptCount val="22"/>
                <c:pt idx="0">
                  <c:v>11678</c:v>
                </c:pt>
                <c:pt idx="2">
                  <c:v>3874</c:v>
                </c:pt>
                <c:pt idx="3">
                  <c:v>2796</c:v>
                </c:pt>
                <c:pt idx="5">
                  <c:v>2187</c:v>
                </c:pt>
                <c:pt idx="6">
                  <c:v>5483</c:v>
                </c:pt>
                <c:pt idx="10">
                  <c:v>12464</c:v>
                </c:pt>
                <c:pt idx="11">
                  <c:v>4928</c:v>
                </c:pt>
                <c:pt idx="12">
                  <c:v>11616</c:v>
                </c:pt>
                <c:pt idx="14">
                  <c:v>10614</c:v>
                </c:pt>
                <c:pt idx="15">
                  <c:v>61848</c:v>
                </c:pt>
                <c:pt idx="18">
                  <c:v>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2-4702-9ACD-B1CBF1564CB3}"/>
            </c:ext>
          </c:extLst>
        </c:ser>
        <c:ser>
          <c:idx val="1"/>
          <c:order val="1"/>
          <c:tx>
            <c:v>계획</c:v>
          </c:tx>
          <c:cat>
            <c:strRef>
              <c:f>'04'!$D$6:$D$27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BASE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'04'!$J$6:$J$27</c:f>
              <c:numCache>
                <c:formatCode>_(* #,##0_);_(* \(#,##0\);_(* "-"_);_(@_)</c:formatCode>
                <c:ptCount val="22"/>
                <c:pt idx="0">
                  <c:v>11678</c:v>
                </c:pt>
                <c:pt idx="1">
                  <c:v>1500</c:v>
                </c:pt>
                <c:pt idx="2">
                  <c:v>3874</c:v>
                </c:pt>
                <c:pt idx="3">
                  <c:v>2796</c:v>
                </c:pt>
                <c:pt idx="4">
                  <c:v>10206</c:v>
                </c:pt>
                <c:pt idx="5">
                  <c:v>2187</c:v>
                </c:pt>
                <c:pt idx="6">
                  <c:v>5483</c:v>
                </c:pt>
                <c:pt idx="7">
                  <c:v>3204</c:v>
                </c:pt>
                <c:pt idx="8">
                  <c:v>608</c:v>
                </c:pt>
                <c:pt idx="9">
                  <c:v>12356</c:v>
                </c:pt>
                <c:pt idx="10">
                  <c:v>12464</c:v>
                </c:pt>
                <c:pt idx="11">
                  <c:v>4928</c:v>
                </c:pt>
                <c:pt idx="12">
                  <c:v>11616</c:v>
                </c:pt>
                <c:pt idx="13">
                  <c:v>330</c:v>
                </c:pt>
                <c:pt idx="14">
                  <c:v>10614</c:v>
                </c:pt>
                <c:pt idx="15">
                  <c:v>61848</c:v>
                </c:pt>
                <c:pt idx="16">
                  <c:v>0</c:v>
                </c:pt>
                <c:pt idx="17">
                  <c:v>0</c:v>
                </c:pt>
                <c:pt idx="18">
                  <c:v>7042</c:v>
                </c:pt>
                <c:pt idx="19">
                  <c:v>9988</c:v>
                </c:pt>
                <c:pt idx="20">
                  <c:v>11600</c:v>
                </c:pt>
                <c:pt idx="21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2-4702-9ACD-B1CBF1564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443-4A63-A650-1B109A545B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3-4A63-A650-1B109A54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443-4A63-A650-1B109A545B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43-4A63-A650-1B109A54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ADAPTER</c:v>
                </c:pt>
                <c:pt idx="5">
                  <c:v>STOPPPER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BASE</c:v>
                </c:pt>
                <c:pt idx="13">
                  <c:v>ACTUATOR</c:v>
                </c:pt>
                <c:pt idx="14">
                  <c:v>COVER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'26'!$L$6:$L$28</c:f>
              <c:numCache>
                <c:formatCode>_(* #,##0_);_(* \(#,##0\);_(* "-"_);_(@_)</c:formatCode>
                <c:ptCount val="23"/>
                <c:pt idx="1">
                  <c:v>5528</c:v>
                </c:pt>
                <c:pt idx="2">
                  <c:v>11840</c:v>
                </c:pt>
                <c:pt idx="3">
                  <c:v>11670</c:v>
                </c:pt>
                <c:pt idx="4">
                  <c:v>4709</c:v>
                </c:pt>
                <c:pt idx="6">
                  <c:v>2100</c:v>
                </c:pt>
                <c:pt idx="7">
                  <c:v>4017</c:v>
                </c:pt>
                <c:pt idx="9">
                  <c:v>17004</c:v>
                </c:pt>
                <c:pt idx="10">
                  <c:v>1213</c:v>
                </c:pt>
                <c:pt idx="11">
                  <c:v>3583</c:v>
                </c:pt>
                <c:pt idx="12">
                  <c:v>39325</c:v>
                </c:pt>
                <c:pt idx="13">
                  <c:v>4350</c:v>
                </c:pt>
                <c:pt idx="14">
                  <c:v>3886</c:v>
                </c:pt>
                <c:pt idx="15">
                  <c:v>8214</c:v>
                </c:pt>
                <c:pt idx="16">
                  <c:v>62116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6-41F8-9C49-C8B6564CB3B8}"/>
            </c:ext>
          </c:extLst>
        </c:ser>
        <c:ser>
          <c:idx val="1"/>
          <c:order val="1"/>
          <c:tx>
            <c:v>계획</c:v>
          </c:tx>
          <c:cat>
            <c:strRef>
              <c:f>'26'!$D$6:$D$28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ADAPTER</c:v>
                </c:pt>
                <c:pt idx="5">
                  <c:v>STOPPPER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BASE</c:v>
                </c:pt>
                <c:pt idx="13">
                  <c:v>ACTUATOR</c:v>
                </c:pt>
                <c:pt idx="14">
                  <c:v>COVER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'26'!$J$6:$J$28</c:f>
              <c:numCache>
                <c:formatCode>_(* #,##0_);_(* \(#,##0\);_(* "-"_);_(@_)</c:formatCode>
                <c:ptCount val="23"/>
                <c:pt idx="0">
                  <c:v>150</c:v>
                </c:pt>
                <c:pt idx="1">
                  <c:v>5528</c:v>
                </c:pt>
                <c:pt idx="2">
                  <c:v>11840</c:v>
                </c:pt>
                <c:pt idx="3">
                  <c:v>11670</c:v>
                </c:pt>
                <c:pt idx="4">
                  <c:v>4709</c:v>
                </c:pt>
                <c:pt idx="5">
                  <c:v>5873</c:v>
                </c:pt>
                <c:pt idx="6">
                  <c:v>2100</c:v>
                </c:pt>
                <c:pt idx="7">
                  <c:v>4017</c:v>
                </c:pt>
                <c:pt idx="8">
                  <c:v>750</c:v>
                </c:pt>
                <c:pt idx="9">
                  <c:v>17004</c:v>
                </c:pt>
                <c:pt idx="10">
                  <c:v>1213</c:v>
                </c:pt>
                <c:pt idx="11">
                  <c:v>3583</c:v>
                </c:pt>
                <c:pt idx="12">
                  <c:v>39325</c:v>
                </c:pt>
                <c:pt idx="13">
                  <c:v>4350</c:v>
                </c:pt>
                <c:pt idx="14">
                  <c:v>3886</c:v>
                </c:pt>
                <c:pt idx="15">
                  <c:v>8214</c:v>
                </c:pt>
                <c:pt idx="16">
                  <c:v>62116</c:v>
                </c:pt>
                <c:pt idx="17">
                  <c:v>0</c:v>
                </c:pt>
                <c:pt idx="18">
                  <c:v>0</c:v>
                </c:pt>
                <c:pt idx="19">
                  <c:v>3244</c:v>
                </c:pt>
                <c:pt idx="20">
                  <c:v>9988</c:v>
                </c:pt>
                <c:pt idx="21">
                  <c:v>11600</c:v>
                </c:pt>
                <c:pt idx="22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6-41F8-9C49-C8B6564CB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'26'!$AD$6:$AD$28</c:f>
              <c:strCache>
                <c:ptCount val="23"/>
                <c:pt idx="0">
                  <c:v>0%</c:v>
                </c:pt>
                <c:pt idx="1">
                  <c:v>92%</c:v>
                </c:pt>
                <c:pt idx="2">
                  <c:v>100%</c:v>
                </c:pt>
                <c:pt idx="3">
                  <c:v>100%</c:v>
                </c:pt>
                <c:pt idx="4">
                  <c:v>96%</c:v>
                </c:pt>
                <c:pt idx="5">
                  <c:v>0%</c:v>
                </c:pt>
                <c:pt idx="6">
                  <c:v>46%</c:v>
                </c:pt>
                <c:pt idx="7">
                  <c:v>96%</c:v>
                </c:pt>
                <c:pt idx="8">
                  <c:v>0%</c:v>
                </c:pt>
                <c:pt idx="9">
                  <c:v>79%</c:v>
                </c:pt>
                <c:pt idx="10">
                  <c:v>25%</c:v>
                </c:pt>
                <c:pt idx="11">
                  <c:v>71%</c:v>
                </c:pt>
                <c:pt idx="12">
                  <c:v>100%</c:v>
                </c:pt>
                <c:pt idx="13">
                  <c:v>29%</c:v>
                </c:pt>
                <c:pt idx="14">
                  <c:v>92%</c:v>
                </c:pt>
                <c:pt idx="15">
                  <c:v>88%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ADAPTER</c:v>
                </c:pt>
                <c:pt idx="5">
                  <c:v>STOPPPER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BASE</c:v>
                </c:pt>
                <c:pt idx="13">
                  <c:v>ACTUATOR</c:v>
                </c:pt>
                <c:pt idx="14">
                  <c:v>COVER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'26'!$AD$6:$AD$28</c:f>
              <c:numCache>
                <c:formatCode>0%</c:formatCode>
                <c:ptCount val="23"/>
                <c:pt idx="0">
                  <c:v>0</c:v>
                </c:pt>
                <c:pt idx="1">
                  <c:v>0.91666666666666663</c:v>
                </c:pt>
                <c:pt idx="2">
                  <c:v>1</c:v>
                </c:pt>
                <c:pt idx="3">
                  <c:v>1</c:v>
                </c:pt>
                <c:pt idx="4">
                  <c:v>0.95833333333333337</c:v>
                </c:pt>
                <c:pt idx="5">
                  <c:v>0</c:v>
                </c:pt>
                <c:pt idx="6">
                  <c:v>0.45833333333333331</c:v>
                </c:pt>
                <c:pt idx="7">
                  <c:v>0.95833333333333337</c:v>
                </c:pt>
                <c:pt idx="8">
                  <c:v>0</c:v>
                </c:pt>
                <c:pt idx="9">
                  <c:v>0.79166666666666663</c:v>
                </c:pt>
                <c:pt idx="10">
                  <c:v>0.25</c:v>
                </c:pt>
                <c:pt idx="11">
                  <c:v>0.70833333333333337</c:v>
                </c:pt>
                <c:pt idx="12">
                  <c:v>1</c:v>
                </c:pt>
                <c:pt idx="13">
                  <c:v>0.29166666666666669</c:v>
                </c:pt>
                <c:pt idx="14">
                  <c:v>0.91666666666666663</c:v>
                </c:pt>
                <c:pt idx="15">
                  <c:v>0.875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5-42C9-BB5F-FEE94D1F8D3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5-42C9-BB5F-FEE94D1F8D3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ADAPTER</c:v>
                </c:pt>
                <c:pt idx="5">
                  <c:v>STOPPPER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BASE</c:v>
                </c:pt>
                <c:pt idx="13">
                  <c:v>ACTUATOR</c:v>
                </c:pt>
                <c:pt idx="14">
                  <c:v>COVER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'26'!$AE$6:$AE$28</c:f>
              <c:numCache>
                <c:formatCode>0%</c:formatCode>
                <c:ptCount val="23"/>
                <c:pt idx="0">
                  <c:v>0.48369565217391297</c:v>
                </c:pt>
                <c:pt idx="1">
                  <c:v>0.48369565217391297</c:v>
                </c:pt>
                <c:pt idx="2">
                  <c:v>0.48369565217391297</c:v>
                </c:pt>
                <c:pt idx="3">
                  <c:v>0.48369565217391297</c:v>
                </c:pt>
                <c:pt idx="4">
                  <c:v>0.48369565217391297</c:v>
                </c:pt>
                <c:pt idx="5">
                  <c:v>0.48369565217391297</c:v>
                </c:pt>
                <c:pt idx="6">
                  <c:v>0.48369565217391297</c:v>
                </c:pt>
                <c:pt idx="7">
                  <c:v>0.48369565217391297</c:v>
                </c:pt>
                <c:pt idx="8">
                  <c:v>0.48369565217391297</c:v>
                </c:pt>
                <c:pt idx="9">
                  <c:v>0.48369565217391297</c:v>
                </c:pt>
                <c:pt idx="10">
                  <c:v>0.48369565217391297</c:v>
                </c:pt>
                <c:pt idx="11">
                  <c:v>0.48369565217391297</c:v>
                </c:pt>
                <c:pt idx="12">
                  <c:v>0.48369565217391297</c:v>
                </c:pt>
                <c:pt idx="13">
                  <c:v>0.48369565217391297</c:v>
                </c:pt>
                <c:pt idx="14">
                  <c:v>0.48369565217391297</c:v>
                </c:pt>
                <c:pt idx="15">
                  <c:v>0.48369565217391297</c:v>
                </c:pt>
                <c:pt idx="16">
                  <c:v>0.48369565217391297</c:v>
                </c:pt>
                <c:pt idx="17">
                  <c:v>0.48369565217391297</c:v>
                </c:pt>
                <c:pt idx="18">
                  <c:v>0.48369565217391297</c:v>
                </c:pt>
                <c:pt idx="19">
                  <c:v>0.48369565217391297</c:v>
                </c:pt>
                <c:pt idx="20">
                  <c:v>0.48369565217391297</c:v>
                </c:pt>
                <c:pt idx="21">
                  <c:v>0.48369565217391297</c:v>
                </c:pt>
                <c:pt idx="22">
                  <c:v>0.48369565217391297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5-42C9-BB5F-FEE94D1F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ADAPTER</c:v>
                </c:pt>
                <c:pt idx="5">
                  <c:v>STOPPPER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BASE</c:v>
                </c:pt>
                <c:pt idx="13">
                  <c:v>ACTUATOR</c:v>
                </c:pt>
                <c:pt idx="14">
                  <c:v>COVER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'26'!$L$6:$L$28</c:f>
              <c:numCache>
                <c:formatCode>_(* #,##0_);_(* \(#,##0\);_(* "-"_);_(@_)</c:formatCode>
                <c:ptCount val="23"/>
                <c:pt idx="1">
                  <c:v>5528</c:v>
                </c:pt>
                <c:pt idx="2">
                  <c:v>11840</c:v>
                </c:pt>
                <c:pt idx="3">
                  <c:v>11670</c:v>
                </c:pt>
                <c:pt idx="4">
                  <c:v>4709</c:v>
                </c:pt>
                <c:pt idx="6">
                  <c:v>2100</c:v>
                </c:pt>
                <c:pt idx="7">
                  <c:v>4017</c:v>
                </c:pt>
                <c:pt idx="9">
                  <c:v>17004</c:v>
                </c:pt>
                <c:pt idx="10">
                  <c:v>1213</c:v>
                </c:pt>
                <c:pt idx="11">
                  <c:v>3583</c:v>
                </c:pt>
                <c:pt idx="12">
                  <c:v>39325</c:v>
                </c:pt>
                <c:pt idx="13">
                  <c:v>4350</c:v>
                </c:pt>
                <c:pt idx="14">
                  <c:v>3886</c:v>
                </c:pt>
                <c:pt idx="15">
                  <c:v>8214</c:v>
                </c:pt>
                <c:pt idx="16">
                  <c:v>62116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6-4568-969B-C98ABDA25CCD}"/>
            </c:ext>
          </c:extLst>
        </c:ser>
        <c:ser>
          <c:idx val="1"/>
          <c:order val="1"/>
          <c:tx>
            <c:v>계획</c:v>
          </c:tx>
          <c:cat>
            <c:strRef>
              <c:f>'26'!$D$6:$D$28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ADAPTER</c:v>
                </c:pt>
                <c:pt idx="5">
                  <c:v>STOPPPER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BASE</c:v>
                </c:pt>
                <c:pt idx="13">
                  <c:v>ACTUATOR</c:v>
                </c:pt>
                <c:pt idx="14">
                  <c:v>COVER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'26'!$J$6:$J$28</c:f>
              <c:numCache>
                <c:formatCode>_(* #,##0_);_(* \(#,##0\);_(* "-"_);_(@_)</c:formatCode>
                <c:ptCount val="23"/>
                <c:pt idx="0">
                  <c:v>150</c:v>
                </c:pt>
                <c:pt idx="1">
                  <c:v>5528</c:v>
                </c:pt>
                <c:pt idx="2">
                  <c:v>11840</c:v>
                </c:pt>
                <c:pt idx="3">
                  <c:v>11670</c:v>
                </c:pt>
                <c:pt idx="4">
                  <c:v>4709</c:v>
                </c:pt>
                <c:pt idx="5">
                  <c:v>5873</c:v>
                </c:pt>
                <c:pt idx="6">
                  <c:v>2100</c:v>
                </c:pt>
                <c:pt idx="7">
                  <c:v>4017</c:v>
                </c:pt>
                <c:pt idx="8">
                  <c:v>750</c:v>
                </c:pt>
                <c:pt idx="9">
                  <c:v>17004</c:v>
                </c:pt>
                <c:pt idx="10">
                  <c:v>1213</c:v>
                </c:pt>
                <c:pt idx="11">
                  <c:v>3583</c:v>
                </c:pt>
                <c:pt idx="12">
                  <c:v>39325</c:v>
                </c:pt>
                <c:pt idx="13">
                  <c:v>4350</c:v>
                </c:pt>
                <c:pt idx="14">
                  <c:v>3886</c:v>
                </c:pt>
                <c:pt idx="15">
                  <c:v>8214</c:v>
                </c:pt>
                <c:pt idx="16">
                  <c:v>62116</c:v>
                </c:pt>
                <c:pt idx="17">
                  <c:v>0</c:v>
                </c:pt>
                <c:pt idx="18">
                  <c:v>0</c:v>
                </c:pt>
                <c:pt idx="19">
                  <c:v>3244</c:v>
                </c:pt>
                <c:pt idx="20">
                  <c:v>9988</c:v>
                </c:pt>
                <c:pt idx="21">
                  <c:v>11600</c:v>
                </c:pt>
                <c:pt idx="22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6-4568-969B-C98ABDA2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'26'!$AD$6:$AD$28</c:f>
              <c:strCache>
                <c:ptCount val="23"/>
                <c:pt idx="0">
                  <c:v>0%</c:v>
                </c:pt>
                <c:pt idx="1">
                  <c:v>92%</c:v>
                </c:pt>
                <c:pt idx="2">
                  <c:v>100%</c:v>
                </c:pt>
                <c:pt idx="3">
                  <c:v>100%</c:v>
                </c:pt>
                <c:pt idx="4">
                  <c:v>96%</c:v>
                </c:pt>
                <c:pt idx="5">
                  <c:v>0%</c:v>
                </c:pt>
                <c:pt idx="6">
                  <c:v>46%</c:v>
                </c:pt>
                <c:pt idx="7">
                  <c:v>96%</c:v>
                </c:pt>
                <c:pt idx="8">
                  <c:v>0%</c:v>
                </c:pt>
                <c:pt idx="9">
                  <c:v>79%</c:v>
                </c:pt>
                <c:pt idx="10">
                  <c:v>25%</c:v>
                </c:pt>
                <c:pt idx="11">
                  <c:v>71%</c:v>
                </c:pt>
                <c:pt idx="12">
                  <c:v>100%</c:v>
                </c:pt>
                <c:pt idx="13">
                  <c:v>29%</c:v>
                </c:pt>
                <c:pt idx="14">
                  <c:v>92%</c:v>
                </c:pt>
                <c:pt idx="15">
                  <c:v>88%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ADAPTER</c:v>
                </c:pt>
                <c:pt idx="5">
                  <c:v>STOPPPER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BASE</c:v>
                </c:pt>
                <c:pt idx="13">
                  <c:v>ACTUATOR</c:v>
                </c:pt>
                <c:pt idx="14">
                  <c:v>COVER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'26'!$AD$6:$AD$28</c:f>
              <c:numCache>
                <c:formatCode>0%</c:formatCode>
                <c:ptCount val="23"/>
                <c:pt idx="0">
                  <c:v>0</c:v>
                </c:pt>
                <c:pt idx="1">
                  <c:v>0.91666666666666663</c:v>
                </c:pt>
                <c:pt idx="2">
                  <c:v>1</c:v>
                </c:pt>
                <c:pt idx="3">
                  <c:v>1</c:v>
                </c:pt>
                <c:pt idx="4">
                  <c:v>0.95833333333333337</c:v>
                </c:pt>
                <c:pt idx="5">
                  <c:v>0</c:v>
                </c:pt>
                <c:pt idx="6">
                  <c:v>0.45833333333333331</c:v>
                </c:pt>
                <c:pt idx="7">
                  <c:v>0.95833333333333337</c:v>
                </c:pt>
                <c:pt idx="8">
                  <c:v>0</c:v>
                </c:pt>
                <c:pt idx="9">
                  <c:v>0.79166666666666663</c:v>
                </c:pt>
                <c:pt idx="10">
                  <c:v>0.25</c:v>
                </c:pt>
                <c:pt idx="11">
                  <c:v>0.70833333333333337</c:v>
                </c:pt>
                <c:pt idx="12">
                  <c:v>1</c:v>
                </c:pt>
                <c:pt idx="13">
                  <c:v>0.29166666666666669</c:v>
                </c:pt>
                <c:pt idx="14">
                  <c:v>0.91666666666666663</c:v>
                </c:pt>
                <c:pt idx="15">
                  <c:v>0.875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1-41BF-B28D-F8EC06A46F8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11-41BF-B28D-F8EC06A46F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ADAPTER</c:v>
                </c:pt>
                <c:pt idx="5">
                  <c:v>STOPPPER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BASE</c:v>
                </c:pt>
                <c:pt idx="13">
                  <c:v>ACTUATOR</c:v>
                </c:pt>
                <c:pt idx="14">
                  <c:v>COVER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'26'!$AE$6:$AE$28</c:f>
              <c:numCache>
                <c:formatCode>0%</c:formatCode>
                <c:ptCount val="23"/>
                <c:pt idx="0">
                  <c:v>0.48369565217391297</c:v>
                </c:pt>
                <c:pt idx="1">
                  <c:v>0.48369565217391297</c:v>
                </c:pt>
                <c:pt idx="2">
                  <c:v>0.48369565217391297</c:v>
                </c:pt>
                <c:pt idx="3">
                  <c:v>0.48369565217391297</c:v>
                </c:pt>
                <c:pt idx="4">
                  <c:v>0.48369565217391297</c:v>
                </c:pt>
                <c:pt idx="5">
                  <c:v>0.48369565217391297</c:v>
                </c:pt>
                <c:pt idx="6">
                  <c:v>0.48369565217391297</c:v>
                </c:pt>
                <c:pt idx="7">
                  <c:v>0.48369565217391297</c:v>
                </c:pt>
                <c:pt idx="8">
                  <c:v>0.48369565217391297</c:v>
                </c:pt>
                <c:pt idx="9">
                  <c:v>0.48369565217391297</c:v>
                </c:pt>
                <c:pt idx="10">
                  <c:v>0.48369565217391297</c:v>
                </c:pt>
                <c:pt idx="11">
                  <c:v>0.48369565217391297</c:v>
                </c:pt>
                <c:pt idx="12">
                  <c:v>0.48369565217391297</c:v>
                </c:pt>
                <c:pt idx="13">
                  <c:v>0.48369565217391297</c:v>
                </c:pt>
                <c:pt idx="14">
                  <c:v>0.48369565217391297</c:v>
                </c:pt>
                <c:pt idx="15">
                  <c:v>0.48369565217391297</c:v>
                </c:pt>
                <c:pt idx="16">
                  <c:v>0.48369565217391297</c:v>
                </c:pt>
                <c:pt idx="17">
                  <c:v>0.48369565217391297</c:v>
                </c:pt>
                <c:pt idx="18">
                  <c:v>0.48369565217391297</c:v>
                </c:pt>
                <c:pt idx="19">
                  <c:v>0.48369565217391297</c:v>
                </c:pt>
                <c:pt idx="20">
                  <c:v>0.48369565217391297</c:v>
                </c:pt>
                <c:pt idx="21">
                  <c:v>0.48369565217391297</c:v>
                </c:pt>
                <c:pt idx="22">
                  <c:v>0.48369565217391297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1-41BF-B28D-F8EC06A4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DF8-430B-B7AB-BB7905E5E8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8-430B-B7AB-BB7905E5E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DF8-430B-B7AB-BB7905E5E8D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8-430B-B7AB-BB7905E5E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'27'!$L$6:$L$27</c:f>
              <c:numCache>
                <c:formatCode>_(* #,##0_);_(* \(#,##0\);_(* "-"_);_(@_)</c:formatCode>
                <c:ptCount val="22"/>
                <c:pt idx="1">
                  <c:v>3614</c:v>
                </c:pt>
                <c:pt idx="2">
                  <c:v>11830</c:v>
                </c:pt>
                <c:pt idx="3">
                  <c:v>11786</c:v>
                </c:pt>
                <c:pt idx="4">
                  <c:v>10060</c:v>
                </c:pt>
                <c:pt idx="5">
                  <c:v>4636</c:v>
                </c:pt>
                <c:pt idx="6">
                  <c:v>4316</c:v>
                </c:pt>
                <c:pt idx="7">
                  <c:v>3979</c:v>
                </c:pt>
                <c:pt idx="9">
                  <c:v>25452</c:v>
                </c:pt>
                <c:pt idx="10">
                  <c:v>5369</c:v>
                </c:pt>
                <c:pt idx="11">
                  <c:v>19755</c:v>
                </c:pt>
                <c:pt idx="13">
                  <c:v>3523</c:v>
                </c:pt>
                <c:pt idx="14">
                  <c:v>10962</c:v>
                </c:pt>
                <c:pt idx="15">
                  <c:v>62068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B-4FC5-99C9-49866EA5E309}"/>
            </c:ext>
          </c:extLst>
        </c:ser>
        <c:ser>
          <c:idx val="1"/>
          <c:order val="1"/>
          <c:tx>
            <c:v>계획</c:v>
          </c:tx>
          <c:cat>
            <c:strRef>
              <c:f>'27'!$D$6:$D$27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'27'!$J$6:$J$27</c:f>
              <c:numCache>
                <c:formatCode>_(* #,##0_);_(* \(#,##0\);_(* "-"_);_(@_)</c:formatCode>
                <c:ptCount val="22"/>
                <c:pt idx="0">
                  <c:v>150</c:v>
                </c:pt>
                <c:pt idx="1">
                  <c:v>3614</c:v>
                </c:pt>
                <c:pt idx="2">
                  <c:v>11830</c:v>
                </c:pt>
                <c:pt idx="3">
                  <c:v>11786</c:v>
                </c:pt>
                <c:pt idx="4">
                  <c:v>10060</c:v>
                </c:pt>
                <c:pt idx="5">
                  <c:v>4636</c:v>
                </c:pt>
                <c:pt idx="6">
                  <c:v>4316</c:v>
                </c:pt>
                <c:pt idx="7">
                  <c:v>3979</c:v>
                </c:pt>
                <c:pt idx="8">
                  <c:v>750</c:v>
                </c:pt>
                <c:pt idx="9">
                  <c:v>25452</c:v>
                </c:pt>
                <c:pt idx="10">
                  <c:v>5369</c:v>
                </c:pt>
                <c:pt idx="11">
                  <c:v>19755</c:v>
                </c:pt>
                <c:pt idx="12">
                  <c:v>4350</c:v>
                </c:pt>
                <c:pt idx="13">
                  <c:v>3523</c:v>
                </c:pt>
                <c:pt idx="14">
                  <c:v>10962</c:v>
                </c:pt>
                <c:pt idx="15">
                  <c:v>62068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B-4FC5-99C9-49866EA5E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'27'!$AD$6:$AD$27</c:f>
              <c:strCache>
                <c:ptCount val="22"/>
                <c:pt idx="0">
                  <c:v>0%</c:v>
                </c:pt>
                <c:pt idx="1">
                  <c:v>63%</c:v>
                </c:pt>
                <c:pt idx="2">
                  <c:v>100%</c:v>
                </c:pt>
                <c:pt idx="3">
                  <c:v>100%</c:v>
                </c:pt>
                <c:pt idx="4">
                  <c:v>96%</c:v>
                </c:pt>
                <c:pt idx="5">
                  <c:v>96%</c:v>
                </c:pt>
                <c:pt idx="6">
                  <c:v>100%</c:v>
                </c:pt>
                <c:pt idx="7">
                  <c:v>96%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46%</c:v>
                </c:pt>
                <c:pt idx="12">
                  <c:v>0%</c:v>
                </c:pt>
                <c:pt idx="13">
                  <c:v>67%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'27'!$AD$6:$AD$27</c:f>
              <c:numCache>
                <c:formatCode>0%</c:formatCode>
                <c:ptCount val="22"/>
                <c:pt idx="0">
                  <c:v>0</c:v>
                </c:pt>
                <c:pt idx="1">
                  <c:v>0.625</c:v>
                </c:pt>
                <c:pt idx="2">
                  <c:v>1</c:v>
                </c:pt>
                <c:pt idx="3">
                  <c:v>1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1</c:v>
                </c:pt>
                <c:pt idx="7">
                  <c:v>0.95833333333333337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0.45833333333333331</c:v>
                </c:pt>
                <c:pt idx="12">
                  <c:v>0</c:v>
                </c:pt>
                <c:pt idx="13">
                  <c:v>0.66666666666666663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5-4ED9-8908-EA416CBDA8B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85-4ED9-8908-EA416CBDA8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'27'!$AE$6:$AE$27</c:f>
              <c:numCache>
                <c:formatCode>0%</c:formatCode>
                <c:ptCount val="22"/>
                <c:pt idx="0">
                  <c:v>0.52840909090909094</c:v>
                </c:pt>
                <c:pt idx="1">
                  <c:v>0.52840909090909094</c:v>
                </c:pt>
                <c:pt idx="2">
                  <c:v>0.52840909090909094</c:v>
                </c:pt>
                <c:pt idx="3">
                  <c:v>0.52840909090909094</c:v>
                </c:pt>
                <c:pt idx="4">
                  <c:v>0.52840909090909094</c:v>
                </c:pt>
                <c:pt idx="5">
                  <c:v>0.52840909090909094</c:v>
                </c:pt>
                <c:pt idx="6">
                  <c:v>0.52840909090909094</c:v>
                </c:pt>
                <c:pt idx="7">
                  <c:v>0.52840909090909094</c:v>
                </c:pt>
                <c:pt idx="8">
                  <c:v>0.52840909090909094</c:v>
                </c:pt>
                <c:pt idx="9">
                  <c:v>0.52840909090909094</c:v>
                </c:pt>
                <c:pt idx="10">
                  <c:v>0.52840909090909094</c:v>
                </c:pt>
                <c:pt idx="11">
                  <c:v>0.52840909090909094</c:v>
                </c:pt>
                <c:pt idx="12">
                  <c:v>0.52840909090909094</c:v>
                </c:pt>
                <c:pt idx="13">
                  <c:v>0.52840909090909094</c:v>
                </c:pt>
                <c:pt idx="14">
                  <c:v>0.52840909090909094</c:v>
                </c:pt>
                <c:pt idx="15">
                  <c:v>0.52840909090909094</c:v>
                </c:pt>
                <c:pt idx="16">
                  <c:v>0.52840909090909094</c:v>
                </c:pt>
                <c:pt idx="17">
                  <c:v>0.52840909090909094</c:v>
                </c:pt>
                <c:pt idx="18">
                  <c:v>0.52840909090909094</c:v>
                </c:pt>
                <c:pt idx="19">
                  <c:v>0.52840909090909094</c:v>
                </c:pt>
                <c:pt idx="20">
                  <c:v>0.52840909090909094</c:v>
                </c:pt>
                <c:pt idx="21">
                  <c:v>0.52840909090909094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5-4ED9-8908-EA416CBDA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'27'!$L$6:$L$27</c:f>
              <c:numCache>
                <c:formatCode>_(* #,##0_);_(* \(#,##0\);_(* "-"_);_(@_)</c:formatCode>
                <c:ptCount val="22"/>
                <c:pt idx="1">
                  <c:v>3614</c:v>
                </c:pt>
                <c:pt idx="2">
                  <c:v>11830</c:v>
                </c:pt>
                <c:pt idx="3">
                  <c:v>11786</c:v>
                </c:pt>
                <c:pt idx="4">
                  <c:v>10060</c:v>
                </c:pt>
                <c:pt idx="5">
                  <c:v>4636</c:v>
                </c:pt>
                <c:pt idx="6">
                  <c:v>4316</c:v>
                </c:pt>
                <c:pt idx="7">
                  <c:v>3979</c:v>
                </c:pt>
                <c:pt idx="9">
                  <c:v>25452</c:v>
                </c:pt>
                <c:pt idx="10">
                  <c:v>5369</c:v>
                </c:pt>
                <c:pt idx="11">
                  <c:v>19755</c:v>
                </c:pt>
                <c:pt idx="13">
                  <c:v>3523</c:v>
                </c:pt>
                <c:pt idx="14">
                  <c:v>10962</c:v>
                </c:pt>
                <c:pt idx="15">
                  <c:v>62068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8-4D78-BEB7-161092FBF298}"/>
            </c:ext>
          </c:extLst>
        </c:ser>
        <c:ser>
          <c:idx val="1"/>
          <c:order val="1"/>
          <c:tx>
            <c:v>계획</c:v>
          </c:tx>
          <c:cat>
            <c:strRef>
              <c:f>'27'!$D$6:$D$27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'27'!$J$6:$J$27</c:f>
              <c:numCache>
                <c:formatCode>_(* #,##0_);_(* \(#,##0\);_(* "-"_);_(@_)</c:formatCode>
                <c:ptCount val="22"/>
                <c:pt idx="0">
                  <c:v>150</c:v>
                </c:pt>
                <c:pt idx="1">
                  <c:v>3614</c:v>
                </c:pt>
                <c:pt idx="2">
                  <c:v>11830</c:v>
                </c:pt>
                <c:pt idx="3">
                  <c:v>11786</c:v>
                </c:pt>
                <c:pt idx="4">
                  <c:v>10060</c:v>
                </c:pt>
                <c:pt idx="5">
                  <c:v>4636</c:v>
                </c:pt>
                <c:pt idx="6">
                  <c:v>4316</c:v>
                </c:pt>
                <c:pt idx="7">
                  <c:v>3979</c:v>
                </c:pt>
                <c:pt idx="8">
                  <c:v>750</c:v>
                </c:pt>
                <c:pt idx="9">
                  <c:v>25452</c:v>
                </c:pt>
                <c:pt idx="10">
                  <c:v>5369</c:v>
                </c:pt>
                <c:pt idx="11">
                  <c:v>19755</c:v>
                </c:pt>
                <c:pt idx="12">
                  <c:v>4350</c:v>
                </c:pt>
                <c:pt idx="13">
                  <c:v>3523</c:v>
                </c:pt>
                <c:pt idx="14">
                  <c:v>10962</c:v>
                </c:pt>
                <c:pt idx="15">
                  <c:v>62068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8-4D78-BEB7-161092FBF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'27'!$AD$6:$AD$27</c:f>
              <c:strCache>
                <c:ptCount val="22"/>
                <c:pt idx="0">
                  <c:v>0%</c:v>
                </c:pt>
                <c:pt idx="1">
                  <c:v>63%</c:v>
                </c:pt>
                <c:pt idx="2">
                  <c:v>100%</c:v>
                </c:pt>
                <c:pt idx="3">
                  <c:v>100%</c:v>
                </c:pt>
                <c:pt idx="4">
                  <c:v>96%</c:v>
                </c:pt>
                <c:pt idx="5">
                  <c:v>96%</c:v>
                </c:pt>
                <c:pt idx="6">
                  <c:v>100%</c:v>
                </c:pt>
                <c:pt idx="7">
                  <c:v>96%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46%</c:v>
                </c:pt>
                <c:pt idx="12">
                  <c:v>0%</c:v>
                </c:pt>
                <c:pt idx="13">
                  <c:v>67%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'27'!$AD$6:$AD$27</c:f>
              <c:numCache>
                <c:formatCode>0%</c:formatCode>
                <c:ptCount val="22"/>
                <c:pt idx="0">
                  <c:v>0</c:v>
                </c:pt>
                <c:pt idx="1">
                  <c:v>0.625</c:v>
                </c:pt>
                <c:pt idx="2">
                  <c:v>1</c:v>
                </c:pt>
                <c:pt idx="3">
                  <c:v>1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1</c:v>
                </c:pt>
                <c:pt idx="7">
                  <c:v>0.95833333333333337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0.45833333333333331</c:v>
                </c:pt>
                <c:pt idx="12">
                  <c:v>0</c:v>
                </c:pt>
                <c:pt idx="13">
                  <c:v>0.66666666666666663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4-433F-9BC8-F9C0B7E32E7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34-433F-9BC8-F9C0B7E32E7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LEAD GUIDE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'27'!$AE$6:$AE$27</c:f>
              <c:numCache>
                <c:formatCode>0%</c:formatCode>
                <c:ptCount val="22"/>
                <c:pt idx="0">
                  <c:v>0.52840909090909094</c:v>
                </c:pt>
                <c:pt idx="1">
                  <c:v>0.52840909090909094</c:v>
                </c:pt>
                <c:pt idx="2">
                  <c:v>0.52840909090909094</c:v>
                </c:pt>
                <c:pt idx="3">
                  <c:v>0.52840909090909094</c:v>
                </c:pt>
                <c:pt idx="4">
                  <c:v>0.52840909090909094</c:v>
                </c:pt>
                <c:pt idx="5">
                  <c:v>0.52840909090909094</c:v>
                </c:pt>
                <c:pt idx="6">
                  <c:v>0.52840909090909094</c:v>
                </c:pt>
                <c:pt idx="7">
                  <c:v>0.52840909090909094</c:v>
                </c:pt>
                <c:pt idx="8">
                  <c:v>0.52840909090909094</c:v>
                </c:pt>
                <c:pt idx="9">
                  <c:v>0.52840909090909094</c:v>
                </c:pt>
                <c:pt idx="10">
                  <c:v>0.52840909090909094</c:v>
                </c:pt>
                <c:pt idx="11">
                  <c:v>0.52840909090909094</c:v>
                </c:pt>
                <c:pt idx="12">
                  <c:v>0.52840909090909094</c:v>
                </c:pt>
                <c:pt idx="13">
                  <c:v>0.52840909090909094</c:v>
                </c:pt>
                <c:pt idx="14">
                  <c:v>0.52840909090909094</c:v>
                </c:pt>
                <c:pt idx="15">
                  <c:v>0.52840909090909094</c:v>
                </c:pt>
                <c:pt idx="16">
                  <c:v>0.52840909090909094</c:v>
                </c:pt>
                <c:pt idx="17">
                  <c:v>0.52840909090909094</c:v>
                </c:pt>
                <c:pt idx="18">
                  <c:v>0.52840909090909094</c:v>
                </c:pt>
                <c:pt idx="19">
                  <c:v>0.52840909090909094</c:v>
                </c:pt>
                <c:pt idx="20">
                  <c:v>0.52840909090909094</c:v>
                </c:pt>
                <c:pt idx="21">
                  <c:v>0.52840909090909094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4-433F-9BC8-F9C0B7E3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'04'!$AD$6:$AD$27</c:f>
              <c:strCache>
                <c:ptCount val="22"/>
                <c:pt idx="0">
                  <c:v>100%</c:v>
                </c:pt>
                <c:pt idx="1">
                  <c:v>0%</c:v>
                </c:pt>
                <c:pt idx="2">
                  <c:v>67%</c:v>
                </c:pt>
                <c:pt idx="3">
                  <c:v>58%</c:v>
                </c:pt>
                <c:pt idx="4">
                  <c:v>0%</c:v>
                </c:pt>
                <c:pt idx="5">
                  <c:v>46%</c:v>
                </c:pt>
                <c:pt idx="6">
                  <c:v>100%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100%</c:v>
                </c:pt>
                <c:pt idx="12">
                  <c:v>100%</c:v>
                </c:pt>
                <c:pt idx="13">
                  <c:v>0%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100%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BASE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'04'!$AD$6:$AD$27</c:f>
              <c:numCache>
                <c:formatCode>0%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0.66666666666666663</c:v>
                </c:pt>
                <c:pt idx="3">
                  <c:v>0.58333333333333337</c:v>
                </c:pt>
                <c:pt idx="4">
                  <c:v>0</c:v>
                </c:pt>
                <c:pt idx="5">
                  <c:v>0.45833333333333331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7-4B5B-8842-8C6E7770A80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47-4B5B-8842-8C6E7770A8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BASE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'04'!$AE$6:$AE$27</c:f>
              <c:numCache>
                <c:formatCode>0%</c:formatCode>
                <c:ptCount val="22"/>
                <c:pt idx="0">
                  <c:v>0.44128787878787884</c:v>
                </c:pt>
                <c:pt idx="1">
                  <c:v>0.44128787878787884</c:v>
                </c:pt>
                <c:pt idx="2">
                  <c:v>0.44128787878787884</c:v>
                </c:pt>
                <c:pt idx="3">
                  <c:v>0.44128787878787884</c:v>
                </c:pt>
                <c:pt idx="4">
                  <c:v>0.44128787878787884</c:v>
                </c:pt>
                <c:pt idx="5">
                  <c:v>0.44128787878787884</c:v>
                </c:pt>
                <c:pt idx="6">
                  <c:v>0.44128787878787884</c:v>
                </c:pt>
                <c:pt idx="7">
                  <c:v>0.44128787878787884</c:v>
                </c:pt>
                <c:pt idx="8">
                  <c:v>0.44128787878787884</c:v>
                </c:pt>
                <c:pt idx="9">
                  <c:v>0.44128787878787884</c:v>
                </c:pt>
                <c:pt idx="10">
                  <c:v>0.44128787878787884</c:v>
                </c:pt>
                <c:pt idx="11">
                  <c:v>0.44128787878787884</c:v>
                </c:pt>
                <c:pt idx="12">
                  <c:v>0.44128787878787884</c:v>
                </c:pt>
                <c:pt idx="13">
                  <c:v>0.44128787878787884</c:v>
                </c:pt>
                <c:pt idx="14">
                  <c:v>0.44128787878787884</c:v>
                </c:pt>
                <c:pt idx="15">
                  <c:v>0.44128787878787884</c:v>
                </c:pt>
                <c:pt idx="16">
                  <c:v>0.44128787878787884</c:v>
                </c:pt>
                <c:pt idx="17">
                  <c:v>0.44128787878787884</c:v>
                </c:pt>
                <c:pt idx="18">
                  <c:v>0.44128787878787884</c:v>
                </c:pt>
                <c:pt idx="19">
                  <c:v>0.44128787878787884</c:v>
                </c:pt>
                <c:pt idx="20">
                  <c:v>0.44128787878787884</c:v>
                </c:pt>
                <c:pt idx="21">
                  <c:v>0.44128787878787884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7-4B5B-8842-8C6E7770A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439-48A7-BD1E-A82D89D5A3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9-48A7-BD1E-A82D89D5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439-48A7-BD1E-A82D89D5A30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9-48A7-BD1E-A82D89D5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38P</c:v>
                </c:pt>
                <c:pt idx="9">
                  <c:v>U/BASE</c:v>
                </c:pt>
                <c:pt idx="10">
                  <c:v>COVER</c:v>
                </c:pt>
                <c:pt idx="11">
                  <c:v>BASE</c:v>
                </c:pt>
                <c:pt idx="13">
                  <c:v>LATCH</c:v>
                </c:pt>
                <c:pt idx="14">
                  <c:v>COVER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'28'!$L$6:$L$28</c:f>
              <c:numCache>
                <c:formatCode>_(* #,##0_);_(* \(#,##0\);_(* "-"_);_(@_)</c:formatCode>
                <c:ptCount val="23"/>
                <c:pt idx="0">
                  <c:v>3905</c:v>
                </c:pt>
                <c:pt idx="1">
                  <c:v>7707</c:v>
                </c:pt>
                <c:pt idx="2">
                  <c:v>11734</c:v>
                </c:pt>
                <c:pt idx="3">
                  <c:v>11714</c:v>
                </c:pt>
                <c:pt idx="4">
                  <c:v>11700</c:v>
                </c:pt>
                <c:pt idx="5">
                  <c:v>5381</c:v>
                </c:pt>
                <c:pt idx="6">
                  <c:v>1590</c:v>
                </c:pt>
                <c:pt idx="7">
                  <c:v>2328</c:v>
                </c:pt>
                <c:pt idx="8">
                  <c:v>5323</c:v>
                </c:pt>
                <c:pt idx="10">
                  <c:v>26300</c:v>
                </c:pt>
                <c:pt idx="11">
                  <c:v>5344</c:v>
                </c:pt>
                <c:pt idx="12">
                  <c:v>18405</c:v>
                </c:pt>
                <c:pt idx="13">
                  <c:v>7826</c:v>
                </c:pt>
                <c:pt idx="14">
                  <c:v>5432</c:v>
                </c:pt>
                <c:pt idx="15">
                  <c:v>10104</c:v>
                </c:pt>
                <c:pt idx="16">
                  <c:v>58848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1-403A-A626-A622D03BEB08}"/>
            </c:ext>
          </c:extLst>
        </c:ser>
        <c:ser>
          <c:idx val="1"/>
          <c:order val="1"/>
          <c:tx>
            <c:v>계획</c:v>
          </c:tx>
          <c:cat>
            <c:strRef>
              <c:f>'28'!$D$6:$D$28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38P</c:v>
                </c:pt>
                <c:pt idx="9">
                  <c:v>U/BASE</c:v>
                </c:pt>
                <c:pt idx="10">
                  <c:v>COVER</c:v>
                </c:pt>
                <c:pt idx="11">
                  <c:v>BASE</c:v>
                </c:pt>
                <c:pt idx="13">
                  <c:v>LATCH</c:v>
                </c:pt>
                <c:pt idx="14">
                  <c:v>COVER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'28'!$J$6:$J$28</c:f>
              <c:numCache>
                <c:formatCode>_(* #,##0_);_(* \(#,##0\);_(* "-"_);_(@_)</c:formatCode>
                <c:ptCount val="23"/>
                <c:pt idx="0">
                  <c:v>3905</c:v>
                </c:pt>
                <c:pt idx="1">
                  <c:v>7707</c:v>
                </c:pt>
                <c:pt idx="2">
                  <c:v>11734</c:v>
                </c:pt>
                <c:pt idx="3">
                  <c:v>11714</c:v>
                </c:pt>
                <c:pt idx="4">
                  <c:v>11700</c:v>
                </c:pt>
                <c:pt idx="5">
                  <c:v>5381</c:v>
                </c:pt>
                <c:pt idx="6">
                  <c:v>1590</c:v>
                </c:pt>
                <c:pt idx="7">
                  <c:v>2328</c:v>
                </c:pt>
                <c:pt idx="8">
                  <c:v>5323</c:v>
                </c:pt>
                <c:pt idx="9">
                  <c:v>750</c:v>
                </c:pt>
                <c:pt idx="10">
                  <c:v>26300</c:v>
                </c:pt>
                <c:pt idx="11">
                  <c:v>5344</c:v>
                </c:pt>
                <c:pt idx="12">
                  <c:v>18405</c:v>
                </c:pt>
                <c:pt idx="13">
                  <c:v>7826</c:v>
                </c:pt>
                <c:pt idx="14">
                  <c:v>5432</c:v>
                </c:pt>
                <c:pt idx="15">
                  <c:v>10104</c:v>
                </c:pt>
                <c:pt idx="16">
                  <c:v>58848</c:v>
                </c:pt>
                <c:pt idx="17">
                  <c:v>0</c:v>
                </c:pt>
                <c:pt idx="18">
                  <c:v>0</c:v>
                </c:pt>
                <c:pt idx="19">
                  <c:v>3244</c:v>
                </c:pt>
                <c:pt idx="20">
                  <c:v>9988</c:v>
                </c:pt>
                <c:pt idx="21">
                  <c:v>11600</c:v>
                </c:pt>
                <c:pt idx="22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1-403A-A626-A622D03BE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'28'!$AD$6:$AD$28</c:f>
              <c:strCache>
                <c:ptCount val="23"/>
                <c:pt idx="0">
                  <c:v>67%</c:v>
                </c:pt>
                <c:pt idx="1">
                  <c:v>88%</c:v>
                </c:pt>
                <c:pt idx="2">
                  <c:v>100%</c:v>
                </c:pt>
                <c:pt idx="3">
                  <c:v>100%</c:v>
                </c:pt>
                <c:pt idx="4">
                  <c:v>96%</c:v>
                </c:pt>
                <c:pt idx="5">
                  <c:v>96%</c:v>
                </c:pt>
                <c:pt idx="6">
                  <c:v>29%</c:v>
                </c:pt>
                <c:pt idx="7">
                  <c:v>50%</c:v>
                </c:pt>
                <c:pt idx="8">
                  <c:v>92%</c:v>
                </c:pt>
                <c:pt idx="9">
                  <c:v>0%</c:v>
                </c:pt>
                <c:pt idx="10">
                  <c:v>100%</c:v>
                </c:pt>
                <c:pt idx="11">
                  <c:v>100%</c:v>
                </c:pt>
                <c:pt idx="12">
                  <c:v>50%</c:v>
                </c:pt>
                <c:pt idx="13">
                  <c:v>75%</c:v>
                </c:pt>
                <c:pt idx="14">
                  <c:v>100%</c:v>
                </c:pt>
                <c:pt idx="15">
                  <c:v>96%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38P</c:v>
                </c:pt>
                <c:pt idx="9">
                  <c:v>U/BASE</c:v>
                </c:pt>
                <c:pt idx="10">
                  <c:v>COVER</c:v>
                </c:pt>
                <c:pt idx="11">
                  <c:v>BASE</c:v>
                </c:pt>
                <c:pt idx="13">
                  <c:v>LATCH</c:v>
                </c:pt>
                <c:pt idx="14">
                  <c:v>COVER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'28'!$AD$6:$AD$28</c:f>
              <c:numCache>
                <c:formatCode>0%</c:formatCode>
                <c:ptCount val="23"/>
                <c:pt idx="0">
                  <c:v>0.66666666666666663</c:v>
                </c:pt>
                <c:pt idx="1">
                  <c:v>0.875</c:v>
                </c:pt>
                <c:pt idx="2">
                  <c:v>1</c:v>
                </c:pt>
                <c:pt idx="3">
                  <c:v>1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0.29166666666666669</c:v>
                </c:pt>
                <c:pt idx="7">
                  <c:v>0.5</c:v>
                </c:pt>
                <c:pt idx="8">
                  <c:v>0.91666666666666663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0.95833333333333337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1-434C-8A4D-6E8485F4A07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B1-434C-8A4D-6E8485F4A07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38P</c:v>
                </c:pt>
                <c:pt idx="9">
                  <c:v>U/BASE</c:v>
                </c:pt>
                <c:pt idx="10">
                  <c:v>COVER</c:v>
                </c:pt>
                <c:pt idx="11">
                  <c:v>BASE</c:v>
                </c:pt>
                <c:pt idx="13">
                  <c:v>LATCH</c:v>
                </c:pt>
                <c:pt idx="14">
                  <c:v>COVER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'28'!$AE$6:$AE$28</c:f>
              <c:numCache>
                <c:formatCode>0%</c:formatCode>
                <c:ptCount val="23"/>
                <c:pt idx="0">
                  <c:v>0.58152173913043481</c:v>
                </c:pt>
                <c:pt idx="1">
                  <c:v>0.58152173913043481</c:v>
                </c:pt>
                <c:pt idx="2">
                  <c:v>0.58152173913043481</c:v>
                </c:pt>
                <c:pt idx="3">
                  <c:v>0.58152173913043481</c:v>
                </c:pt>
                <c:pt idx="4">
                  <c:v>0.58152173913043481</c:v>
                </c:pt>
                <c:pt idx="5">
                  <c:v>0.58152173913043481</c:v>
                </c:pt>
                <c:pt idx="6">
                  <c:v>0.58152173913043481</c:v>
                </c:pt>
                <c:pt idx="7">
                  <c:v>0.58152173913043481</c:v>
                </c:pt>
                <c:pt idx="8">
                  <c:v>0.58152173913043481</c:v>
                </c:pt>
                <c:pt idx="9">
                  <c:v>0.58152173913043481</c:v>
                </c:pt>
                <c:pt idx="10">
                  <c:v>0.58152173913043481</c:v>
                </c:pt>
                <c:pt idx="11">
                  <c:v>0.58152173913043481</c:v>
                </c:pt>
                <c:pt idx="12">
                  <c:v>0.58152173913043481</c:v>
                </c:pt>
                <c:pt idx="13">
                  <c:v>0.58152173913043481</c:v>
                </c:pt>
                <c:pt idx="14">
                  <c:v>0.58152173913043481</c:v>
                </c:pt>
                <c:pt idx="15">
                  <c:v>0.58152173913043481</c:v>
                </c:pt>
                <c:pt idx="16">
                  <c:v>0.58152173913043481</c:v>
                </c:pt>
                <c:pt idx="17">
                  <c:v>0.58152173913043481</c:v>
                </c:pt>
                <c:pt idx="18">
                  <c:v>0.58152173913043481</c:v>
                </c:pt>
                <c:pt idx="19">
                  <c:v>0.58152173913043481</c:v>
                </c:pt>
                <c:pt idx="20">
                  <c:v>0.58152173913043481</c:v>
                </c:pt>
                <c:pt idx="21">
                  <c:v>0.58152173913043481</c:v>
                </c:pt>
                <c:pt idx="22">
                  <c:v>0.58152173913043481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1-434C-8A4D-6E8485F4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38P</c:v>
                </c:pt>
                <c:pt idx="9">
                  <c:v>U/BASE</c:v>
                </c:pt>
                <c:pt idx="10">
                  <c:v>COVER</c:v>
                </c:pt>
                <c:pt idx="11">
                  <c:v>BASE</c:v>
                </c:pt>
                <c:pt idx="13">
                  <c:v>LATCH</c:v>
                </c:pt>
                <c:pt idx="14">
                  <c:v>COVER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'28'!$L$6:$L$28</c:f>
              <c:numCache>
                <c:formatCode>_(* #,##0_);_(* \(#,##0\);_(* "-"_);_(@_)</c:formatCode>
                <c:ptCount val="23"/>
                <c:pt idx="0">
                  <c:v>3905</c:v>
                </c:pt>
                <c:pt idx="1">
                  <c:v>7707</c:v>
                </c:pt>
                <c:pt idx="2">
                  <c:v>11734</c:v>
                </c:pt>
                <c:pt idx="3">
                  <c:v>11714</c:v>
                </c:pt>
                <c:pt idx="4">
                  <c:v>11700</c:v>
                </c:pt>
                <c:pt idx="5">
                  <c:v>5381</c:v>
                </c:pt>
                <c:pt idx="6">
                  <c:v>1590</c:v>
                </c:pt>
                <c:pt idx="7">
                  <c:v>2328</c:v>
                </c:pt>
                <c:pt idx="8">
                  <c:v>5323</c:v>
                </c:pt>
                <c:pt idx="10">
                  <c:v>26300</c:v>
                </c:pt>
                <c:pt idx="11">
                  <c:v>5344</c:v>
                </c:pt>
                <c:pt idx="12">
                  <c:v>18405</c:v>
                </c:pt>
                <c:pt idx="13">
                  <c:v>7826</c:v>
                </c:pt>
                <c:pt idx="14">
                  <c:v>5432</c:v>
                </c:pt>
                <c:pt idx="15">
                  <c:v>10104</c:v>
                </c:pt>
                <c:pt idx="16">
                  <c:v>58848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C-4813-AB7E-7E76CC53E56E}"/>
            </c:ext>
          </c:extLst>
        </c:ser>
        <c:ser>
          <c:idx val="1"/>
          <c:order val="1"/>
          <c:tx>
            <c:v>계획</c:v>
          </c:tx>
          <c:cat>
            <c:strRef>
              <c:f>'28'!$D$6:$D$28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38P</c:v>
                </c:pt>
                <c:pt idx="9">
                  <c:v>U/BASE</c:v>
                </c:pt>
                <c:pt idx="10">
                  <c:v>COVER</c:v>
                </c:pt>
                <c:pt idx="11">
                  <c:v>BASE</c:v>
                </c:pt>
                <c:pt idx="13">
                  <c:v>LATCH</c:v>
                </c:pt>
                <c:pt idx="14">
                  <c:v>COVER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'28'!$J$6:$J$28</c:f>
              <c:numCache>
                <c:formatCode>_(* #,##0_);_(* \(#,##0\);_(* "-"_);_(@_)</c:formatCode>
                <c:ptCount val="23"/>
                <c:pt idx="0">
                  <c:v>3905</c:v>
                </c:pt>
                <c:pt idx="1">
                  <c:v>7707</c:v>
                </c:pt>
                <c:pt idx="2">
                  <c:v>11734</c:v>
                </c:pt>
                <c:pt idx="3">
                  <c:v>11714</c:v>
                </c:pt>
                <c:pt idx="4">
                  <c:v>11700</c:v>
                </c:pt>
                <c:pt idx="5">
                  <c:v>5381</c:v>
                </c:pt>
                <c:pt idx="6">
                  <c:v>1590</c:v>
                </c:pt>
                <c:pt idx="7">
                  <c:v>2328</c:v>
                </c:pt>
                <c:pt idx="8">
                  <c:v>5323</c:v>
                </c:pt>
                <c:pt idx="9">
                  <c:v>750</c:v>
                </c:pt>
                <c:pt idx="10">
                  <c:v>26300</c:v>
                </c:pt>
                <c:pt idx="11">
                  <c:v>5344</c:v>
                </c:pt>
                <c:pt idx="12">
                  <c:v>18405</c:v>
                </c:pt>
                <c:pt idx="13">
                  <c:v>7826</c:v>
                </c:pt>
                <c:pt idx="14">
                  <c:v>5432</c:v>
                </c:pt>
                <c:pt idx="15">
                  <c:v>10104</c:v>
                </c:pt>
                <c:pt idx="16">
                  <c:v>58848</c:v>
                </c:pt>
                <c:pt idx="17">
                  <c:v>0</c:v>
                </c:pt>
                <c:pt idx="18">
                  <c:v>0</c:v>
                </c:pt>
                <c:pt idx="19">
                  <c:v>3244</c:v>
                </c:pt>
                <c:pt idx="20">
                  <c:v>9988</c:v>
                </c:pt>
                <c:pt idx="21">
                  <c:v>11600</c:v>
                </c:pt>
                <c:pt idx="22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C-4813-AB7E-7E76CC53E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'28'!$AD$6:$AD$28</c:f>
              <c:strCache>
                <c:ptCount val="23"/>
                <c:pt idx="0">
                  <c:v>67%</c:v>
                </c:pt>
                <c:pt idx="1">
                  <c:v>88%</c:v>
                </c:pt>
                <c:pt idx="2">
                  <c:v>100%</c:v>
                </c:pt>
                <c:pt idx="3">
                  <c:v>100%</c:v>
                </c:pt>
                <c:pt idx="4">
                  <c:v>96%</c:v>
                </c:pt>
                <c:pt idx="5">
                  <c:v>96%</c:v>
                </c:pt>
                <c:pt idx="6">
                  <c:v>29%</c:v>
                </c:pt>
                <c:pt idx="7">
                  <c:v>50%</c:v>
                </c:pt>
                <c:pt idx="8">
                  <c:v>92%</c:v>
                </c:pt>
                <c:pt idx="9">
                  <c:v>0%</c:v>
                </c:pt>
                <c:pt idx="10">
                  <c:v>100%</c:v>
                </c:pt>
                <c:pt idx="11">
                  <c:v>100%</c:v>
                </c:pt>
                <c:pt idx="12">
                  <c:v>50%</c:v>
                </c:pt>
                <c:pt idx="13">
                  <c:v>75%</c:v>
                </c:pt>
                <c:pt idx="14">
                  <c:v>100%</c:v>
                </c:pt>
                <c:pt idx="15">
                  <c:v>96%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38P</c:v>
                </c:pt>
                <c:pt idx="9">
                  <c:v>U/BASE</c:v>
                </c:pt>
                <c:pt idx="10">
                  <c:v>COVER</c:v>
                </c:pt>
                <c:pt idx="11">
                  <c:v>BASE</c:v>
                </c:pt>
                <c:pt idx="13">
                  <c:v>LATCH</c:v>
                </c:pt>
                <c:pt idx="14">
                  <c:v>COVER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'28'!$AD$6:$AD$28</c:f>
              <c:numCache>
                <c:formatCode>0%</c:formatCode>
                <c:ptCount val="23"/>
                <c:pt idx="0">
                  <c:v>0.66666666666666663</c:v>
                </c:pt>
                <c:pt idx="1">
                  <c:v>0.875</c:v>
                </c:pt>
                <c:pt idx="2">
                  <c:v>1</c:v>
                </c:pt>
                <c:pt idx="3">
                  <c:v>1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0.29166666666666669</c:v>
                </c:pt>
                <c:pt idx="7">
                  <c:v>0.5</c:v>
                </c:pt>
                <c:pt idx="8">
                  <c:v>0.91666666666666663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0.95833333333333337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B-46C1-B2C9-8626C137252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2B-46C1-B2C9-8626C137252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38P</c:v>
                </c:pt>
                <c:pt idx="9">
                  <c:v>U/BASE</c:v>
                </c:pt>
                <c:pt idx="10">
                  <c:v>COVER</c:v>
                </c:pt>
                <c:pt idx="11">
                  <c:v>BASE</c:v>
                </c:pt>
                <c:pt idx="13">
                  <c:v>LATCH</c:v>
                </c:pt>
                <c:pt idx="14">
                  <c:v>COVER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'28'!$AE$6:$AE$28</c:f>
              <c:numCache>
                <c:formatCode>0%</c:formatCode>
                <c:ptCount val="23"/>
                <c:pt idx="0">
                  <c:v>0.58152173913043481</c:v>
                </c:pt>
                <c:pt idx="1">
                  <c:v>0.58152173913043481</c:v>
                </c:pt>
                <c:pt idx="2">
                  <c:v>0.58152173913043481</c:v>
                </c:pt>
                <c:pt idx="3">
                  <c:v>0.58152173913043481</c:v>
                </c:pt>
                <c:pt idx="4">
                  <c:v>0.58152173913043481</c:v>
                </c:pt>
                <c:pt idx="5">
                  <c:v>0.58152173913043481</c:v>
                </c:pt>
                <c:pt idx="6">
                  <c:v>0.58152173913043481</c:v>
                </c:pt>
                <c:pt idx="7">
                  <c:v>0.58152173913043481</c:v>
                </c:pt>
                <c:pt idx="8">
                  <c:v>0.58152173913043481</c:v>
                </c:pt>
                <c:pt idx="9">
                  <c:v>0.58152173913043481</c:v>
                </c:pt>
                <c:pt idx="10">
                  <c:v>0.58152173913043481</c:v>
                </c:pt>
                <c:pt idx="11">
                  <c:v>0.58152173913043481</c:v>
                </c:pt>
                <c:pt idx="12">
                  <c:v>0.58152173913043481</c:v>
                </c:pt>
                <c:pt idx="13">
                  <c:v>0.58152173913043481</c:v>
                </c:pt>
                <c:pt idx="14">
                  <c:v>0.58152173913043481</c:v>
                </c:pt>
                <c:pt idx="15">
                  <c:v>0.58152173913043481</c:v>
                </c:pt>
                <c:pt idx="16">
                  <c:v>0.58152173913043481</c:v>
                </c:pt>
                <c:pt idx="17">
                  <c:v>0.58152173913043481</c:v>
                </c:pt>
                <c:pt idx="18">
                  <c:v>0.58152173913043481</c:v>
                </c:pt>
                <c:pt idx="19">
                  <c:v>0.58152173913043481</c:v>
                </c:pt>
                <c:pt idx="20">
                  <c:v>0.58152173913043481</c:v>
                </c:pt>
                <c:pt idx="21">
                  <c:v>0.58152173913043481</c:v>
                </c:pt>
                <c:pt idx="22">
                  <c:v>0.58152173913043481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B-46C1-B2C9-8626C137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8E9-4607-9CEF-EBB48B745C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9-4607-9CEF-EBB48B74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8E9-4607-9CEF-EBB48B745CE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9-4607-9CEF-EBB48B74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38P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LATCH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'29'!$L$6:$L$27</c:f>
              <c:numCache>
                <c:formatCode>_(* #,##0_);_(* \(#,##0\);_(* "-"_);_(@_)</c:formatCode>
                <c:ptCount val="22"/>
                <c:pt idx="0">
                  <c:v>1251</c:v>
                </c:pt>
                <c:pt idx="1">
                  <c:v>9828</c:v>
                </c:pt>
                <c:pt idx="2">
                  <c:v>3504</c:v>
                </c:pt>
                <c:pt idx="3">
                  <c:v>11754</c:v>
                </c:pt>
                <c:pt idx="4">
                  <c:v>9012</c:v>
                </c:pt>
                <c:pt idx="5">
                  <c:v>4172</c:v>
                </c:pt>
                <c:pt idx="6">
                  <c:v>401</c:v>
                </c:pt>
                <c:pt idx="7">
                  <c:v>5377</c:v>
                </c:pt>
                <c:pt idx="10">
                  <c:v>5361</c:v>
                </c:pt>
                <c:pt idx="11">
                  <c:v>40885</c:v>
                </c:pt>
                <c:pt idx="12">
                  <c:v>12520</c:v>
                </c:pt>
                <c:pt idx="13">
                  <c:v>4841</c:v>
                </c:pt>
                <c:pt idx="14">
                  <c:v>10526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4-4DE2-A638-40EFBFBB0DDC}"/>
            </c:ext>
          </c:extLst>
        </c:ser>
        <c:ser>
          <c:idx val="1"/>
          <c:order val="1"/>
          <c:tx>
            <c:v>계획</c:v>
          </c:tx>
          <c:cat>
            <c:strRef>
              <c:f>'29'!$D$6:$D$27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38P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LATCH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'29'!$J$6:$J$27</c:f>
              <c:numCache>
                <c:formatCode>_(* #,##0_);_(* \(#,##0\);_(* "-"_);_(@_)</c:formatCode>
                <c:ptCount val="22"/>
                <c:pt idx="0">
                  <c:v>1251</c:v>
                </c:pt>
                <c:pt idx="1">
                  <c:v>9828</c:v>
                </c:pt>
                <c:pt idx="2">
                  <c:v>3504</c:v>
                </c:pt>
                <c:pt idx="3">
                  <c:v>11754</c:v>
                </c:pt>
                <c:pt idx="4">
                  <c:v>9012</c:v>
                </c:pt>
                <c:pt idx="5">
                  <c:v>4172</c:v>
                </c:pt>
                <c:pt idx="6">
                  <c:v>401</c:v>
                </c:pt>
                <c:pt idx="7">
                  <c:v>5377</c:v>
                </c:pt>
                <c:pt idx="8">
                  <c:v>750</c:v>
                </c:pt>
                <c:pt idx="9">
                  <c:v>26300</c:v>
                </c:pt>
                <c:pt idx="10">
                  <c:v>5361</c:v>
                </c:pt>
                <c:pt idx="11">
                  <c:v>40885</c:v>
                </c:pt>
                <c:pt idx="12">
                  <c:v>12520</c:v>
                </c:pt>
                <c:pt idx="13">
                  <c:v>4841</c:v>
                </c:pt>
                <c:pt idx="14">
                  <c:v>10526</c:v>
                </c:pt>
                <c:pt idx="15">
                  <c:v>58848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4-4DE2-A638-40EFBFBB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'29'!$AD$6:$AD$27</c:f>
              <c:strCache>
                <c:ptCount val="22"/>
                <c:pt idx="0">
                  <c:v>25%</c:v>
                </c:pt>
                <c:pt idx="1">
                  <c:v>92%</c:v>
                </c:pt>
                <c:pt idx="2">
                  <c:v>33%</c:v>
                </c:pt>
                <c:pt idx="3">
                  <c:v>100%</c:v>
                </c:pt>
                <c:pt idx="4">
                  <c:v>88%</c:v>
                </c:pt>
                <c:pt idx="5">
                  <c:v>83%</c:v>
                </c:pt>
                <c:pt idx="6">
                  <c:v>17%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100%</c:v>
                </c:pt>
                <c:pt idx="12">
                  <c:v>100%</c:v>
                </c:pt>
                <c:pt idx="13">
                  <c:v>96%</c:v>
                </c:pt>
                <c:pt idx="14">
                  <c:v>100%</c:v>
                </c:pt>
                <c:pt idx="15">
                  <c:v>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38P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LATCH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'29'!$AD$6:$AD$27</c:f>
              <c:numCache>
                <c:formatCode>0%</c:formatCode>
                <c:ptCount val="22"/>
                <c:pt idx="0">
                  <c:v>0.25</c:v>
                </c:pt>
                <c:pt idx="1">
                  <c:v>0.91666666666666663</c:v>
                </c:pt>
                <c:pt idx="2">
                  <c:v>0.33333333333333331</c:v>
                </c:pt>
                <c:pt idx="3">
                  <c:v>1</c:v>
                </c:pt>
                <c:pt idx="4">
                  <c:v>0.875</c:v>
                </c:pt>
                <c:pt idx="5">
                  <c:v>0.83333333333333337</c:v>
                </c:pt>
                <c:pt idx="6">
                  <c:v>0.16666666666666666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0.95833333333333337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9-4687-978E-4C8AE006C7B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89-4687-978E-4C8AE006C7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38P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LATCH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'29'!$AE$6:$AE$27</c:f>
              <c:numCache>
                <c:formatCode>0%</c:formatCode>
                <c:ptCount val="22"/>
                <c:pt idx="0">
                  <c:v>0.46969696969696972</c:v>
                </c:pt>
                <c:pt idx="1">
                  <c:v>0.46969696969696972</c:v>
                </c:pt>
                <c:pt idx="2">
                  <c:v>0.46969696969696972</c:v>
                </c:pt>
                <c:pt idx="3">
                  <c:v>0.46969696969696972</c:v>
                </c:pt>
                <c:pt idx="4">
                  <c:v>0.46969696969696972</c:v>
                </c:pt>
                <c:pt idx="5">
                  <c:v>0.46969696969696972</c:v>
                </c:pt>
                <c:pt idx="6">
                  <c:v>0.46969696969696972</c:v>
                </c:pt>
                <c:pt idx="7">
                  <c:v>0.46969696969696972</c:v>
                </c:pt>
                <c:pt idx="8">
                  <c:v>0.46969696969696972</c:v>
                </c:pt>
                <c:pt idx="9">
                  <c:v>0.46969696969696972</c:v>
                </c:pt>
                <c:pt idx="10">
                  <c:v>0.46969696969696972</c:v>
                </c:pt>
                <c:pt idx="11">
                  <c:v>0.46969696969696972</c:v>
                </c:pt>
                <c:pt idx="12">
                  <c:v>0.46969696969696972</c:v>
                </c:pt>
                <c:pt idx="13">
                  <c:v>0.46969696969696972</c:v>
                </c:pt>
                <c:pt idx="14">
                  <c:v>0.46969696969696972</c:v>
                </c:pt>
                <c:pt idx="15">
                  <c:v>0.46969696969696972</c:v>
                </c:pt>
                <c:pt idx="16">
                  <c:v>0.46969696969696972</c:v>
                </c:pt>
                <c:pt idx="17">
                  <c:v>0.46969696969696972</c:v>
                </c:pt>
                <c:pt idx="18">
                  <c:v>0.46969696969696972</c:v>
                </c:pt>
                <c:pt idx="19">
                  <c:v>0.46969696969696972</c:v>
                </c:pt>
                <c:pt idx="20">
                  <c:v>0.46969696969696972</c:v>
                </c:pt>
                <c:pt idx="21">
                  <c:v>0.46969696969696972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9-4687-978E-4C8AE006C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38P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LATCH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'29'!$L$6:$L$27</c:f>
              <c:numCache>
                <c:formatCode>_(* #,##0_);_(* \(#,##0\);_(* "-"_);_(@_)</c:formatCode>
                <c:ptCount val="22"/>
                <c:pt idx="0">
                  <c:v>1251</c:v>
                </c:pt>
                <c:pt idx="1">
                  <c:v>9828</c:v>
                </c:pt>
                <c:pt idx="2">
                  <c:v>3504</c:v>
                </c:pt>
                <c:pt idx="3">
                  <c:v>11754</c:v>
                </c:pt>
                <c:pt idx="4">
                  <c:v>9012</c:v>
                </c:pt>
                <c:pt idx="5">
                  <c:v>4172</c:v>
                </c:pt>
                <c:pt idx="6">
                  <c:v>401</c:v>
                </c:pt>
                <c:pt idx="7">
                  <c:v>5377</c:v>
                </c:pt>
                <c:pt idx="10">
                  <c:v>5361</c:v>
                </c:pt>
                <c:pt idx="11">
                  <c:v>40885</c:v>
                </c:pt>
                <c:pt idx="12">
                  <c:v>12520</c:v>
                </c:pt>
                <c:pt idx="13">
                  <c:v>4841</c:v>
                </c:pt>
                <c:pt idx="14">
                  <c:v>10526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D-4B65-8CF0-4653D7C9199F}"/>
            </c:ext>
          </c:extLst>
        </c:ser>
        <c:ser>
          <c:idx val="1"/>
          <c:order val="1"/>
          <c:tx>
            <c:v>계획</c:v>
          </c:tx>
          <c:cat>
            <c:strRef>
              <c:f>'29'!$D$6:$D$27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38P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LATCH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'29'!$J$6:$J$27</c:f>
              <c:numCache>
                <c:formatCode>_(* #,##0_);_(* \(#,##0\);_(* "-"_);_(@_)</c:formatCode>
                <c:ptCount val="22"/>
                <c:pt idx="0">
                  <c:v>1251</c:v>
                </c:pt>
                <c:pt idx="1">
                  <c:v>9828</c:v>
                </c:pt>
                <c:pt idx="2">
                  <c:v>3504</c:v>
                </c:pt>
                <c:pt idx="3">
                  <c:v>11754</c:v>
                </c:pt>
                <c:pt idx="4">
                  <c:v>9012</c:v>
                </c:pt>
                <c:pt idx="5">
                  <c:v>4172</c:v>
                </c:pt>
                <c:pt idx="6">
                  <c:v>401</c:v>
                </c:pt>
                <c:pt idx="7">
                  <c:v>5377</c:v>
                </c:pt>
                <c:pt idx="8">
                  <c:v>750</c:v>
                </c:pt>
                <c:pt idx="9">
                  <c:v>26300</c:v>
                </c:pt>
                <c:pt idx="10">
                  <c:v>5361</c:v>
                </c:pt>
                <c:pt idx="11">
                  <c:v>40885</c:v>
                </c:pt>
                <c:pt idx="12">
                  <c:v>12520</c:v>
                </c:pt>
                <c:pt idx="13">
                  <c:v>4841</c:v>
                </c:pt>
                <c:pt idx="14">
                  <c:v>10526</c:v>
                </c:pt>
                <c:pt idx="15">
                  <c:v>58848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D-4B65-8CF0-4653D7C9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'29'!$AD$6:$AD$27</c:f>
              <c:strCache>
                <c:ptCount val="22"/>
                <c:pt idx="0">
                  <c:v>25%</c:v>
                </c:pt>
                <c:pt idx="1">
                  <c:v>92%</c:v>
                </c:pt>
                <c:pt idx="2">
                  <c:v>33%</c:v>
                </c:pt>
                <c:pt idx="3">
                  <c:v>100%</c:v>
                </c:pt>
                <c:pt idx="4">
                  <c:v>88%</c:v>
                </c:pt>
                <c:pt idx="5">
                  <c:v>83%</c:v>
                </c:pt>
                <c:pt idx="6">
                  <c:v>17%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100%</c:v>
                </c:pt>
                <c:pt idx="12">
                  <c:v>100%</c:v>
                </c:pt>
                <c:pt idx="13">
                  <c:v>96%</c:v>
                </c:pt>
                <c:pt idx="14">
                  <c:v>100%</c:v>
                </c:pt>
                <c:pt idx="15">
                  <c:v>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38P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LATCH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'29'!$AD$6:$AD$27</c:f>
              <c:numCache>
                <c:formatCode>0%</c:formatCode>
                <c:ptCount val="22"/>
                <c:pt idx="0">
                  <c:v>0.25</c:v>
                </c:pt>
                <c:pt idx="1">
                  <c:v>0.91666666666666663</c:v>
                </c:pt>
                <c:pt idx="2">
                  <c:v>0.33333333333333331</c:v>
                </c:pt>
                <c:pt idx="3">
                  <c:v>1</c:v>
                </c:pt>
                <c:pt idx="4">
                  <c:v>0.875</c:v>
                </c:pt>
                <c:pt idx="5">
                  <c:v>0.83333333333333337</c:v>
                </c:pt>
                <c:pt idx="6">
                  <c:v>0.16666666666666666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0.95833333333333337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E-4E94-B3DB-96139DE66B6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CE-4E94-B3DB-96139DE66B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38P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LATCH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'29'!$AE$6:$AE$27</c:f>
              <c:numCache>
                <c:formatCode>0%</c:formatCode>
                <c:ptCount val="22"/>
                <c:pt idx="0">
                  <c:v>0.46969696969696972</c:v>
                </c:pt>
                <c:pt idx="1">
                  <c:v>0.46969696969696972</c:v>
                </c:pt>
                <c:pt idx="2">
                  <c:v>0.46969696969696972</c:v>
                </c:pt>
                <c:pt idx="3">
                  <c:v>0.46969696969696972</c:v>
                </c:pt>
                <c:pt idx="4">
                  <c:v>0.46969696969696972</c:v>
                </c:pt>
                <c:pt idx="5">
                  <c:v>0.46969696969696972</c:v>
                </c:pt>
                <c:pt idx="6">
                  <c:v>0.46969696969696972</c:v>
                </c:pt>
                <c:pt idx="7">
                  <c:v>0.46969696969696972</c:v>
                </c:pt>
                <c:pt idx="8">
                  <c:v>0.46969696969696972</c:v>
                </c:pt>
                <c:pt idx="9">
                  <c:v>0.46969696969696972</c:v>
                </c:pt>
                <c:pt idx="10">
                  <c:v>0.46969696969696972</c:v>
                </c:pt>
                <c:pt idx="11">
                  <c:v>0.46969696969696972</c:v>
                </c:pt>
                <c:pt idx="12">
                  <c:v>0.46969696969696972</c:v>
                </c:pt>
                <c:pt idx="13">
                  <c:v>0.46969696969696972</c:v>
                </c:pt>
                <c:pt idx="14">
                  <c:v>0.46969696969696972</c:v>
                </c:pt>
                <c:pt idx="15">
                  <c:v>0.46969696969696972</c:v>
                </c:pt>
                <c:pt idx="16">
                  <c:v>0.46969696969696972</c:v>
                </c:pt>
                <c:pt idx="17">
                  <c:v>0.46969696969696972</c:v>
                </c:pt>
                <c:pt idx="18">
                  <c:v>0.46969696969696972</c:v>
                </c:pt>
                <c:pt idx="19">
                  <c:v>0.46969696969696972</c:v>
                </c:pt>
                <c:pt idx="20">
                  <c:v>0.46969696969696972</c:v>
                </c:pt>
                <c:pt idx="21">
                  <c:v>0.46969696969696972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E-4E94-B3DB-96139DE6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BASE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'04'!$L$6:$L$27</c:f>
              <c:numCache>
                <c:formatCode>_(* #,##0_);_(* \(#,##0\);_(* "-"_);_(@_)</c:formatCode>
                <c:ptCount val="22"/>
                <c:pt idx="0">
                  <c:v>11678</c:v>
                </c:pt>
                <c:pt idx="2">
                  <c:v>3874</c:v>
                </c:pt>
                <c:pt idx="3">
                  <c:v>2796</c:v>
                </c:pt>
                <c:pt idx="5">
                  <c:v>2187</c:v>
                </c:pt>
                <c:pt idx="6">
                  <c:v>5483</c:v>
                </c:pt>
                <c:pt idx="10">
                  <c:v>12464</c:v>
                </c:pt>
                <c:pt idx="11">
                  <c:v>4928</c:v>
                </c:pt>
                <c:pt idx="12">
                  <c:v>11616</c:v>
                </c:pt>
                <c:pt idx="14">
                  <c:v>10614</c:v>
                </c:pt>
                <c:pt idx="15">
                  <c:v>61848</c:v>
                </c:pt>
                <c:pt idx="18">
                  <c:v>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6-489A-81CD-4D316C21FFE0}"/>
            </c:ext>
          </c:extLst>
        </c:ser>
        <c:ser>
          <c:idx val="1"/>
          <c:order val="1"/>
          <c:tx>
            <c:v>계획</c:v>
          </c:tx>
          <c:cat>
            <c:strRef>
              <c:f>'04'!$D$6:$D$27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BASE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'04'!$J$6:$J$27</c:f>
              <c:numCache>
                <c:formatCode>_(* #,##0_);_(* \(#,##0\);_(* "-"_);_(@_)</c:formatCode>
                <c:ptCount val="22"/>
                <c:pt idx="0">
                  <c:v>11678</c:v>
                </c:pt>
                <c:pt idx="1">
                  <c:v>1500</c:v>
                </c:pt>
                <c:pt idx="2">
                  <c:v>3874</c:v>
                </c:pt>
                <c:pt idx="3">
                  <c:v>2796</c:v>
                </c:pt>
                <c:pt idx="4">
                  <c:v>10206</c:v>
                </c:pt>
                <c:pt idx="5">
                  <c:v>2187</c:v>
                </c:pt>
                <c:pt idx="6">
                  <c:v>5483</c:v>
                </c:pt>
                <c:pt idx="7">
                  <c:v>3204</c:v>
                </c:pt>
                <c:pt idx="8">
                  <c:v>608</c:v>
                </c:pt>
                <c:pt idx="9">
                  <c:v>12356</c:v>
                </c:pt>
                <c:pt idx="10">
                  <c:v>12464</c:v>
                </c:pt>
                <c:pt idx="11">
                  <c:v>4928</c:v>
                </c:pt>
                <c:pt idx="12">
                  <c:v>11616</c:v>
                </c:pt>
                <c:pt idx="13">
                  <c:v>330</c:v>
                </c:pt>
                <c:pt idx="14">
                  <c:v>10614</c:v>
                </c:pt>
                <c:pt idx="15">
                  <c:v>61848</c:v>
                </c:pt>
                <c:pt idx="16">
                  <c:v>0</c:v>
                </c:pt>
                <c:pt idx="17">
                  <c:v>0</c:v>
                </c:pt>
                <c:pt idx="18">
                  <c:v>7042</c:v>
                </c:pt>
                <c:pt idx="19">
                  <c:v>9988</c:v>
                </c:pt>
                <c:pt idx="20">
                  <c:v>11600</c:v>
                </c:pt>
                <c:pt idx="21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6-489A-81CD-4D316C21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EC6-4CF1-82A8-ABFB60E0B2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6-4CF1-82A8-ABFB60E0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EC6-4CF1-82A8-ABFB60E0B2B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C6-4CF1-82A8-ABFB60E0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38P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LATCH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'30'!$L$6:$L$27</c:f>
              <c:numCache>
                <c:formatCode>_(* #,##0_);_(* \(#,##0\);_(* "-"_);_(@_)</c:formatCode>
                <c:ptCount val="22"/>
                <c:pt idx="1">
                  <c:v>3822</c:v>
                </c:pt>
                <c:pt idx="3">
                  <c:v>5152</c:v>
                </c:pt>
                <c:pt idx="6">
                  <c:v>989</c:v>
                </c:pt>
                <c:pt idx="10">
                  <c:v>1051</c:v>
                </c:pt>
                <c:pt idx="11">
                  <c:v>18620</c:v>
                </c:pt>
                <c:pt idx="13">
                  <c:v>2414</c:v>
                </c:pt>
                <c:pt idx="14">
                  <c:v>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E-44CF-8793-7F1378B68EFE}"/>
            </c:ext>
          </c:extLst>
        </c:ser>
        <c:ser>
          <c:idx val="1"/>
          <c:order val="1"/>
          <c:tx>
            <c:v>계획</c:v>
          </c:tx>
          <c:cat>
            <c:strRef>
              <c:f>'30'!$D$6:$D$27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38P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LATCH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'30'!$J$6:$J$27</c:f>
              <c:numCache>
                <c:formatCode>_(* #,##0_);_(* \(#,##0\);_(* "-"_);_(@_)</c:formatCode>
                <c:ptCount val="22"/>
                <c:pt idx="0">
                  <c:v>1251</c:v>
                </c:pt>
                <c:pt idx="1">
                  <c:v>3822</c:v>
                </c:pt>
                <c:pt idx="2">
                  <c:v>3504</c:v>
                </c:pt>
                <c:pt idx="3">
                  <c:v>5152</c:v>
                </c:pt>
                <c:pt idx="4">
                  <c:v>9012</c:v>
                </c:pt>
                <c:pt idx="5">
                  <c:v>4172</c:v>
                </c:pt>
                <c:pt idx="6">
                  <c:v>989</c:v>
                </c:pt>
                <c:pt idx="7">
                  <c:v>5377</c:v>
                </c:pt>
                <c:pt idx="8">
                  <c:v>750</c:v>
                </c:pt>
                <c:pt idx="9">
                  <c:v>26300</c:v>
                </c:pt>
                <c:pt idx="10">
                  <c:v>1051</c:v>
                </c:pt>
                <c:pt idx="11">
                  <c:v>18620</c:v>
                </c:pt>
                <c:pt idx="12">
                  <c:v>12520</c:v>
                </c:pt>
                <c:pt idx="13">
                  <c:v>2414</c:v>
                </c:pt>
                <c:pt idx="14">
                  <c:v>2972</c:v>
                </c:pt>
                <c:pt idx="15">
                  <c:v>58848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E-44CF-8793-7F1378B6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'30'!$AD$6:$AD$27</c:f>
              <c:strCache>
                <c:ptCount val="22"/>
                <c:pt idx="0">
                  <c:v>0%</c:v>
                </c:pt>
                <c:pt idx="1">
                  <c:v>33%</c:v>
                </c:pt>
                <c:pt idx="2">
                  <c:v>0%</c:v>
                </c:pt>
                <c:pt idx="3">
                  <c:v>46%</c:v>
                </c:pt>
                <c:pt idx="4">
                  <c:v>0%</c:v>
                </c:pt>
                <c:pt idx="5">
                  <c:v>0%</c:v>
                </c:pt>
                <c:pt idx="6">
                  <c:v>25%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21%</c:v>
                </c:pt>
                <c:pt idx="11">
                  <c:v>46%</c:v>
                </c:pt>
                <c:pt idx="12">
                  <c:v>0%</c:v>
                </c:pt>
                <c:pt idx="13">
                  <c:v>46%</c:v>
                </c:pt>
                <c:pt idx="14">
                  <c:v>33%</c:v>
                </c:pt>
                <c:pt idx="15">
                  <c:v>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38P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LATCH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'30'!$AD$6:$AD$27</c:f>
              <c:numCache>
                <c:formatCode>0%</c:formatCode>
                <c:ptCount val="22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0.45833333333333331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0.20833333333333334</c:v>
                </c:pt>
                <c:pt idx="11">
                  <c:v>0.45833333333333331</c:v>
                </c:pt>
                <c:pt idx="12">
                  <c:v>0</c:v>
                </c:pt>
                <c:pt idx="13">
                  <c:v>0.45833333333333331</c:v>
                </c:pt>
                <c:pt idx="14">
                  <c:v>0.33333333333333331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D-4180-A384-805F50F655E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3D-4180-A384-805F50F655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38P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LATCH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'30'!$AE$6:$AE$27</c:f>
              <c:numCache>
                <c:formatCode>0%</c:formatCode>
                <c:ptCount val="22"/>
                <c:pt idx="0">
                  <c:v>0.11363636363636363</c:v>
                </c:pt>
                <c:pt idx="1">
                  <c:v>0.11363636363636363</c:v>
                </c:pt>
                <c:pt idx="2">
                  <c:v>0.11363636363636363</c:v>
                </c:pt>
                <c:pt idx="3">
                  <c:v>0.11363636363636363</c:v>
                </c:pt>
                <c:pt idx="4">
                  <c:v>0.11363636363636363</c:v>
                </c:pt>
                <c:pt idx="5">
                  <c:v>0.11363636363636363</c:v>
                </c:pt>
                <c:pt idx="6">
                  <c:v>0.11363636363636363</c:v>
                </c:pt>
                <c:pt idx="7">
                  <c:v>0.11363636363636363</c:v>
                </c:pt>
                <c:pt idx="8">
                  <c:v>0.11363636363636363</c:v>
                </c:pt>
                <c:pt idx="9">
                  <c:v>0.11363636363636363</c:v>
                </c:pt>
                <c:pt idx="10">
                  <c:v>0.11363636363636363</c:v>
                </c:pt>
                <c:pt idx="11">
                  <c:v>0.11363636363636363</c:v>
                </c:pt>
                <c:pt idx="12">
                  <c:v>0.11363636363636363</c:v>
                </c:pt>
                <c:pt idx="13">
                  <c:v>0.11363636363636363</c:v>
                </c:pt>
                <c:pt idx="14">
                  <c:v>0.11363636363636363</c:v>
                </c:pt>
                <c:pt idx="15">
                  <c:v>0.11363636363636363</c:v>
                </c:pt>
                <c:pt idx="16">
                  <c:v>0.11363636363636363</c:v>
                </c:pt>
                <c:pt idx="17">
                  <c:v>0.11363636363636363</c:v>
                </c:pt>
                <c:pt idx="18">
                  <c:v>0.11363636363636363</c:v>
                </c:pt>
                <c:pt idx="19">
                  <c:v>0.11363636363636363</c:v>
                </c:pt>
                <c:pt idx="20">
                  <c:v>0.11363636363636363</c:v>
                </c:pt>
                <c:pt idx="21">
                  <c:v>0.11363636363636363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D-4180-A384-805F50F65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38P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LATCH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'30'!$L$6:$L$27</c:f>
              <c:numCache>
                <c:formatCode>_(* #,##0_);_(* \(#,##0\);_(* "-"_);_(@_)</c:formatCode>
                <c:ptCount val="22"/>
                <c:pt idx="1">
                  <c:v>3822</c:v>
                </c:pt>
                <c:pt idx="3">
                  <c:v>5152</c:v>
                </c:pt>
                <c:pt idx="6">
                  <c:v>989</c:v>
                </c:pt>
                <c:pt idx="10">
                  <c:v>1051</c:v>
                </c:pt>
                <c:pt idx="11">
                  <c:v>18620</c:v>
                </c:pt>
                <c:pt idx="13">
                  <c:v>2414</c:v>
                </c:pt>
                <c:pt idx="14">
                  <c:v>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2-4517-9E48-09E2C8188F43}"/>
            </c:ext>
          </c:extLst>
        </c:ser>
        <c:ser>
          <c:idx val="1"/>
          <c:order val="1"/>
          <c:tx>
            <c:v>계획</c:v>
          </c:tx>
          <c:cat>
            <c:strRef>
              <c:f>'30'!$D$6:$D$27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38P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LATCH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'30'!$J$6:$J$27</c:f>
              <c:numCache>
                <c:formatCode>_(* #,##0_);_(* \(#,##0\);_(* "-"_);_(@_)</c:formatCode>
                <c:ptCount val="22"/>
                <c:pt idx="0">
                  <c:v>1251</c:v>
                </c:pt>
                <c:pt idx="1">
                  <c:v>3822</c:v>
                </c:pt>
                <c:pt idx="2">
                  <c:v>3504</c:v>
                </c:pt>
                <c:pt idx="3">
                  <c:v>5152</c:v>
                </c:pt>
                <c:pt idx="4">
                  <c:v>9012</c:v>
                </c:pt>
                <c:pt idx="5">
                  <c:v>4172</c:v>
                </c:pt>
                <c:pt idx="6">
                  <c:v>989</c:v>
                </c:pt>
                <c:pt idx="7">
                  <c:v>5377</c:v>
                </c:pt>
                <c:pt idx="8">
                  <c:v>750</c:v>
                </c:pt>
                <c:pt idx="9">
                  <c:v>26300</c:v>
                </c:pt>
                <c:pt idx="10">
                  <c:v>1051</c:v>
                </c:pt>
                <c:pt idx="11">
                  <c:v>18620</c:v>
                </c:pt>
                <c:pt idx="12">
                  <c:v>12520</c:v>
                </c:pt>
                <c:pt idx="13">
                  <c:v>2414</c:v>
                </c:pt>
                <c:pt idx="14">
                  <c:v>2972</c:v>
                </c:pt>
                <c:pt idx="15">
                  <c:v>58848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2-4517-9E48-09E2C8188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'30'!$AD$6:$AD$27</c:f>
              <c:strCache>
                <c:ptCount val="22"/>
                <c:pt idx="0">
                  <c:v>0%</c:v>
                </c:pt>
                <c:pt idx="1">
                  <c:v>33%</c:v>
                </c:pt>
                <c:pt idx="2">
                  <c:v>0%</c:v>
                </c:pt>
                <c:pt idx="3">
                  <c:v>46%</c:v>
                </c:pt>
                <c:pt idx="4">
                  <c:v>0%</c:v>
                </c:pt>
                <c:pt idx="5">
                  <c:v>0%</c:v>
                </c:pt>
                <c:pt idx="6">
                  <c:v>25%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21%</c:v>
                </c:pt>
                <c:pt idx="11">
                  <c:v>46%</c:v>
                </c:pt>
                <c:pt idx="12">
                  <c:v>0%</c:v>
                </c:pt>
                <c:pt idx="13">
                  <c:v>46%</c:v>
                </c:pt>
                <c:pt idx="14">
                  <c:v>33%</c:v>
                </c:pt>
                <c:pt idx="15">
                  <c:v>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38P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LATCH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'30'!$AD$6:$AD$27</c:f>
              <c:numCache>
                <c:formatCode>0%</c:formatCode>
                <c:ptCount val="22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0.45833333333333331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0.20833333333333334</c:v>
                </c:pt>
                <c:pt idx="11">
                  <c:v>0.45833333333333331</c:v>
                </c:pt>
                <c:pt idx="12">
                  <c:v>0</c:v>
                </c:pt>
                <c:pt idx="13">
                  <c:v>0.45833333333333331</c:v>
                </c:pt>
                <c:pt idx="14">
                  <c:v>0.33333333333333331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A-4146-9808-A40823FB83C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4A-4146-9808-A40823FB83C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38P</c:v>
                </c:pt>
                <c:pt idx="8">
                  <c:v>U/BASE</c:v>
                </c:pt>
                <c:pt idx="9">
                  <c:v>COVER</c:v>
                </c:pt>
                <c:pt idx="10">
                  <c:v>BASE</c:v>
                </c:pt>
                <c:pt idx="12">
                  <c:v>LATCH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'30'!$AE$6:$AE$27</c:f>
              <c:numCache>
                <c:formatCode>0%</c:formatCode>
                <c:ptCount val="22"/>
                <c:pt idx="0">
                  <c:v>0.11363636363636363</c:v>
                </c:pt>
                <c:pt idx="1">
                  <c:v>0.11363636363636363</c:v>
                </c:pt>
                <c:pt idx="2">
                  <c:v>0.11363636363636363</c:v>
                </c:pt>
                <c:pt idx="3">
                  <c:v>0.11363636363636363</c:v>
                </c:pt>
                <c:pt idx="4">
                  <c:v>0.11363636363636363</c:v>
                </c:pt>
                <c:pt idx="5">
                  <c:v>0.11363636363636363</c:v>
                </c:pt>
                <c:pt idx="6">
                  <c:v>0.11363636363636363</c:v>
                </c:pt>
                <c:pt idx="7">
                  <c:v>0.11363636363636363</c:v>
                </c:pt>
                <c:pt idx="8">
                  <c:v>0.11363636363636363</c:v>
                </c:pt>
                <c:pt idx="9">
                  <c:v>0.11363636363636363</c:v>
                </c:pt>
                <c:pt idx="10">
                  <c:v>0.11363636363636363</c:v>
                </c:pt>
                <c:pt idx="11">
                  <c:v>0.11363636363636363</c:v>
                </c:pt>
                <c:pt idx="12">
                  <c:v>0.11363636363636363</c:v>
                </c:pt>
                <c:pt idx="13">
                  <c:v>0.11363636363636363</c:v>
                </c:pt>
                <c:pt idx="14">
                  <c:v>0.11363636363636363</c:v>
                </c:pt>
                <c:pt idx="15">
                  <c:v>0.11363636363636363</c:v>
                </c:pt>
                <c:pt idx="16">
                  <c:v>0.11363636363636363</c:v>
                </c:pt>
                <c:pt idx="17">
                  <c:v>0.11363636363636363</c:v>
                </c:pt>
                <c:pt idx="18">
                  <c:v>0.11363636363636363</c:v>
                </c:pt>
                <c:pt idx="19">
                  <c:v>0.11363636363636363</c:v>
                </c:pt>
                <c:pt idx="20">
                  <c:v>0.11363636363636363</c:v>
                </c:pt>
                <c:pt idx="21">
                  <c:v>0.11363636363636363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A-4146-9808-A40823FB8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C45-4DD3-8E20-F5549B408F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5-4DD3-8E20-F5549B408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C45-4DD3-8E20-F5549B408F4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5-4DD3-8E20-F5549B408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'31'!$D$6:$D$27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TOP/BOTTOM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'31'!$L$6:$L$27</c:f>
              <c:numCache>
                <c:formatCode>_(* #,##0_);_(* \(#,##0\);_(* "-"_);_(@_)</c:formatCode>
                <c:ptCount val="22"/>
                <c:pt idx="1">
                  <c:v>6888</c:v>
                </c:pt>
                <c:pt idx="2">
                  <c:v>10564</c:v>
                </c:pt>
                <c:pt idx="3">
                  <c:v>10934</c:v>
                </c:pt>
                <c:pt idx="6">
                  <c:v>1829</c:v>
                </c:pt>
                <c:pt idx="7">
                  <c:v>4958</c:v>
                </c:pt>
                <c:pt idx="10">
                  <c:v>1142</c:v>
                </c:pt>
                <c:pt idx="11">
                  <c:v>38310</c:v>
                </c:pt>
                <c:pt idx="12">
                  <c:v>1509</c:v>
                </c:pt>
                <c:pt idx="13">
                  <c:v>5167</c:v>
                </c:pt>
                <c:pt idx="14">
                  <c:v>11136</c:v>
                </c:pt>
                <c:pt idx="15">
                  <c:v>54656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A-43F8-904F-CD7E7C01FA3F}"/>
            </c:ext>
          </c:extLst>
        </c:ser>
        <c:ser>
          <c:idx val="1"/>
          <c:order val="1"/>
          <c:tx>
            <c:v>계획</c:v>
          </c:tx>
          <c:cat>
            <c:strRef>
              <c:f>'31'!$D$6:$D$27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TOP/BOTTOM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'31'!$J$6:$J$27</c:f>
              <c:numCache>
                <c:formatCode>_(* #,##0_);_(* \(#,##0\);_(* "-"_);_(@_)</c:formatCode>
                <c:ptCount val="22"/>
                <c:pt idx="0">
                  <c:v>1251</c:v>
                </c:pt>
                <c:pt idx="1">
                  <c:v>6888</c:v>
                </c:pt>
                <c:pt idx="2">
                  <c:v>10564</c:v>
                </c:pt>
                <c:pt idx="3">
                  <c:v>10934</c:v>
                </c:pt>
                <c:pt idx="4">
                  <c:v>9012</c:v>
                </c:pt>
                <c:pt idx="5">
                  <c:v>4172</c:v>
                </c:pt>
                <c:pt idx="6">
                  <c:v>1829</c:v>
                </c:pt>
                <c:pt idx="7">
                  <c:v>4958</c:v>
                </c:pt>
                <c:pt idx="8">
                  <c:v>750</c:v>
                </c:pt>
                <c:pt idx="9">
                  <c:v>26300</c:v>
                </c:pt>
                <c:pt idx="10">
                  <c:v>1142</c:v>
                </c:pt>
                <c:pt idx="11">
                  <c:v>38310</c:v>
                </c:pt>
                <c:pt idx="12">
                  <c:v>1509</c:v>
                </c:pt>
                <c:pt idx="13">
                  <c:v>5167</c:v>
                </c:pt>
                <c:pt idx="14">
                  <c:v>11136</c:v>
                </c:pt>
                <c:pt idx="15">
                  <c:v>54656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A-43F8-904F-CD7E7C01F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'31'!$AD$6:$AD$27</c:f>
              <c:strCache>
                <c:ptCount val="22"/>
                <c:pt idx="0">
                  <c:v>0%</c:v>
                </c:pt>
                <c:pt idx="1">
                  <c:v>75%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0%</c:v>
                </c:pt>
                <c:pt idx="6">
                  <c:v>33%</c:v>
                </c:pt>
                <c:pt idx="7">
                  <c:v>96%</c:v>
                </c:pt>
                <c:pt idx="8">
                  <c:v>0%</c:v>
                </c:pt>
                <c:pt idx="9">
                  <c:v>0%</c:v>
                </c:pt>
                <c:pt idx="10">
                  <c:v>33%</c:v>
                </c:pt>
                <c:pt idx="11">
                  <c:v>100%</c:v>
                </c:pt>
                <c:pt idx="12">
                  <c:v>46%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TOP/BOTTOM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'31'!$AD$6:$AD$27</c:f>
              <c:numCache>
                <c:formatCode>0%</c:formatCode>
                <c:ptCount val="22"/>
                <c:pt idx="0">
                  <c:v>0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  <c:pt idx="7">
                  <c:v>0.95833333333333337</c:v>
                </c:pt>
                <c:pt idx="8">
                  <c:v>0</c:v>
                </c:pt>
                <c:pt idx="9">
                  <c:v>0</c:v>
                </c:pt>
                <c:pt idx="10">
                  <c:v>0.33333333333333331</c:v>
                </c:pt>
                <c:pt idx="11">
                  <c:v>1</c:v>
                </c:pt>
                <c:pt idx="12">
                  <c:v>0.45833333333333331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3-4E93-8D40-11ABB4ADE91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63-4E93-8D40-11ABB4ADE9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TOP/BOTTOM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'31'!$AE$6:$AE$27</c:f>
              <c:numCache>
                <c:formatCode>0%</c:formatCode>
                <c:ptCount val="22"/>
                <c:pt idx="0">
                  <c:v>0.40151515151515144</c:v>
                </c:pt>
                <c:pt idx="1">
                  <c:v>0.40151515151515144</c:v>
                </c:pt>
                <c:pt idx="2">
                  <c:v>0.40151515151515144</c:v>
                </c:pt>
                <c:pt idx="3">
                  <c:v>0.40151515151515144</c:v>
                </c:pt>
                <c:pt idx="4">
                  <c:v>0.40151515151515144</c:v>
                </c:pt>
                <c:pt idx="5">
                  <c:v>0.40151515151515144</c:v>
                </c:pt>
                <c:pt idx="6">
                  <c:v>0.40151515151515144</c:v>
                </c:pt>
                <c:pt idx="7">
                  <c:v>0.40151515151515144</c:v>
                </c:pt>
                <c:pt idx="8">
                  <c:v>0.40151515151515144</c:v>
                </c:pt>
                <c:pt idx="9">
                  <c:v>0.40151515151515144</c:v>
                </c:pt>
                <c:pt idx="10">
                  <c:v>0.40151515151515144</c:v>
                </c:pt>
                <c:pt idx="11">
                  <c:v>0.40151515151515144</c:v>
                </c:pt>
                <c:pt idx="12">
                  <c:v>0.40151515151515144</c:v>
                </c:pt>
                <c:pt idx="13">
                  <c:v>0.40151515151515144</c:v>
                </c:pt>
                <c:pt idx="14">
                  <c:v>0.40151515151515144</c:v>
                </c:pt>
                <c:pt idx="15">
                  <c:v>0.40151515151515144</c:v>
                </c:pt>
                <c:pt idx="16">
                  <c:v>0.40151515151515144</c:v>
                </c:pt>
                <c:pt idx="17">
                  <c:v>0.40151515151515144</c:v>
                </c:pt>
                <c:pt idx="18">
                  <c:v>0.40151515151515144</c:v>
                </c:pt>
                <c:pt idx="19">
                  <c:v>0.40151515151515144</c:v>
                </c:pt>
                <c:pt idx="20">
                  <c:v>0.40151515151515144</c:v>
                </c:pt>
                <c:pt idx="21">
                  <c:v>0.40151515151515144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3-4E93-8D40-11ABB4ADE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'31'!$D$6:$D$27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TOP/BOTTOM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'31'!$L$6:$L$27</c:f>
              <c:numCache>
                <c:formatCode>_(* #,##0_);_(* \(#,##0\);_(* "-"_);_(@_)</c:formatCode>
                <c:ptCount val="22"/>
                <c:pt idx="1">
                  <c:v>6888</c:v>
                </c:pt>
                <c:pt idx="2">
                  <c:v>10564</c:v>
                </c:pt>
                <c:pt idx="3">
                  <c:v>10934</c:v>
                </c:pt>
                <c:pt idx="6">
                  <c:v>1829</c:v>
                </c:pt>
                <c:pt idx="7">
                  <c:v>4958</c:v>
                </c:pt>
                <c:pt idx="10">
                  <c:v>1142</c:v>
                </c:pt>
                <c:pt idx="11">
                  <c:v>38310</c:v>
                </c:pt>
                <c:pt idx="12">
                  <c:v>1509</c:v>
                </c:pt>
                <c:pt idx="13">
                  <c:v>5167</c:v>
                </c:pt>
                <c:pt idx="14">
                  <c:v>11136</c:v>
                </c:pt>
                <c:pt idx="15">
                  <c:v>54656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6-4BD2-BA21-D110B21A2316}"/>
            </c:ext>
          </c:extLst>
        </c:ser>
        <c:ser>
          <c:idx val="1"/>
          <c:order val="1"/>
          <c:tx>
            <c:v>계획</c:v>
          </c:tx>
          <c:cat>
            <c:strRef>
              <c:f>'31'!$D$6:$D$27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TOP/BOTTOM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'31'!$J$6:$J$27</c:f>
              <c:numCache>
                <c:formatCode>_(* #,##0_);_(* \(#,##0\);_(* "-"_);_(@_)</c:formatCode>
                <c:ptCount val="22"/>
                <c:pt idx="0">
                  <c:v>1251</c:v>
                </c:pt>
                <c:pt idx="1">
                  <c:v>6888</c:v>
                </c:pt>
                <c:pt idx="2">
                  <c:v>10564</c:v>
                </c:pt>
                <c:pt idx="3">
                  <c:v>10934</c:v>
                </c:pt>
                <c:pt idx="4">
                  <c:v>9012</c:v>
                </c:pt>
                <c:pt idx="5">
                  <c:v>4172</c:v>
                </c:pt>
                <c:pt idx="6">
                  <c:v>1829</c:v>
                </c:pt>
                <c:pt idx="7">
                  <c:v>4958</c:v>
                </c:pt>
                <c:pt idx="8">
                  <c:v>750</c:v>
                </c:pt>
                <c:pt idx="9">
                  <c:v>26300</c:v>
                </c:pt>
                <c:pt idx="10">
                  <c:v>1142</c:v>
                </c:pt>
                <c:pt idx="11">
                  <c:v>38310</c:v>
                </c:pt>
                <c:pt idx="12">
                  <c:v>1509</c:v>
                </c:pt>
                <c:pt idx="13">
                  <c:v>5167</c:v>
                </c:pt>
                <c:pt idx="14">
                  <c:v>11136</c:v>
                </c:pt>
                <c:pt idx="15">
                  <c:v>54656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6-4BD2-BA21-D110B21A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'31'!$AD$6:$AD$27</c:f>
              <c:strCache>
                <c:ptCount val="22"/>
                <c:pt idx="0">
                  <c:v>0%</c:v>
                </c:pt>
                <c:pt idx="1">
                  <c:v>75%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0%</c:v>
                </c:pt>
                <c:pt idx="6">
                  <c:v>33%</c:v>
                </c:pt>
                <c:pt idx="7">
                  <c:v>96%</c:v>
                </c:pt>
                <c:pt idx="8">
                  <c:v>0%</c:v>
                </c:pt>
                <c:pt idx="9">
                  <c:v>0%</c:v>
                </c:pt>
                <c:pt idx="10">
                  <c:v>33%</c:v>
                </c:pt>
                <c:pt idx="11">
                  <c:v>100%</c:v>
                </c:pt>
                <c:pt idx="12">
                  <c:v>46%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TOP/BOTTOM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'31'!$AD$6:$AD$27</c:f>
              <c:numCache>
                <c:formatCode>0%</c:formatCode>
                <c:ptCount val="22"/>
                <c:pt idx="0">
                  <c:v>0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  <c:pt idx="7">
                  <c:v>0.95833333333333337</c:v>
                </c:pt>
                <c:pt idx="8">
                  <c:v>0</c:v>
                </c:pt>
                <c:pt idx="9">
                  <c:v>0</c:v>
                </c:pt>
                <c:pt idx="10">
                  <c:v>0.33333333333333331</c:v>
                </c:pt>
                <c:pt idx="11">
                  <c:v>1</c:v>
                </c:pt>
                <c:pt idx="12">
                  <c:v>0.45833333333333331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B-410A-B6EA-CEBBFBA94EC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FB-410A-B6EA-CEBBFBA94EC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LATCH</c:v>
                </c:pt>
                <c:pt idx="5">
                  <c:v>LEAD GUIDE</c:v>
                </c:pt>
                <c:pt idx="6">
                  <c:v>BASE</c:v>
                </c:pt>
                <c:pt idx="7">
                  <c:v>BASE</c:v>
                </c:pt>
                <c:pt idx="8">
                  <c:v>U/BASE</c:v>
                </c:pt>
                <c:pt idx="9">
                  <c:v>COVER</c:v>
                </c:pt>
                <c:pt idx="10">
                  <c:v>TOP/BOTTOM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'31'!$AE$6:$AE$27</c:f>
              <c:numCache>
                <c:formatCode>0%</c:formatCode>
                <c:ptCount val="22"/>
                <c:pt idx="0">
                  <c:v>0.40151515151515144</c:v>
                </c:pt>
                <c:pt idx="1">
                  <c:v>0.40151515151515144</c:v>
                </c:pt>
                <c:pt idx="2">
                  <c:v>0.40151515151515144</c:v>
                </c:pt>
                <c:pt idx="3">
                  <c:v>0.40151515151515144</c:v>
                </c:pt>
                <c:pt idx="4">
                  <c:v>0.40151515151515144</c:v>
                </c:pt>
                <c:pt idx="5">
                  <c:v>0.40151515151515144</c:v>
                </c:pt>
                <c:pt idx="6">
                  <c:v>0.40151515151515144</c:v>
                </c:pt>
                <c:pt idx="7">
                  <c:v>0.40151515151515144</c:v>
                </c:pt>
                <c:pt idx="8">
                  <c:v>0.40151515151515144</c:v>
                </c:pt>
                <c:pt idx="9">
                  <c:v>0.40151515151515144</c:v>
                </c:pt>
                <c:pt idx="10">
                  <c:v>0.40151515151515144</c:v>
                </c:pt>
                <c:pt idx="11">
                  <c:v>0.40151515151515144</c:v>
                </c:pt>
                <c:pt idx="12">
                  <c:v>0.40151515151515144</c:v>
                </c:pt>
                <c:pt idx="13">
                  <c:v>0.40151515151515144</c:v>
                </c:pt>
                <c:pt idx="14">
                  <c:v>0.40151515151515144</c:v>
                </c:pt>
                <c:pt idx="15">
                  <c:v>0.40151515151515144</c:v>
                </c:pt>
                <c:pt idx="16">
                  <c:v>0.40151515151515144</c:v>
                </c:pt>
                <c:pt idx="17">
                  <c:v>0.40151515151515144</c:v>
                </c:pt>
                <c:pt idx="18">
                  <c:v>0.40151515151515144</c:v>
                </c:pt>
                <c:pt idx="19">
                  <c:v>0.40151515151515144</c:v>
                </c:pt>
                <c:pt idx="20">
                  <c:v>0.40151515151515144</c:v>
                </c:pt>
                <c:pt idx="21">
                  <c:v>0.40151515151515144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B-410A-B6EA-CEBBFBA9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'04'!$AD$6:$AD$27</c:f>
              <c:strCache>
                <c:ptCount val="22"/>
                <c:pt idx="0">
                  <c:v>100%</c:v>
                </c:pt>
                <c:pt idx="1">
                  <c:v>0%</c:v>
                </c:pt>
                <c:pt idx="2">
                  <c:v>67%</c:v>
                </c:pt>
                <c:pt idx="3">
                  <c:v>58%</c:v>
                </c:pt>
                <c:pt idx="4">
                  <c:v>0%</c:v>
                </c:pt>
                <c:pt idx="5">
                  <c:v>46%</c:v>
                </c:pt>
                <c:pt idx="6">
                  <c:v>100%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100%</c:v>
                </c:pt>
                <c:pt idx="12">
                  <c:v>100%</c:v>
                </c:pt>
                <c:pt idx="13">
                  <c:v>0%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100%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BASE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'04'!$AD$6:$AD$27</c:f>
              <c:numCache>
                <c:formatCode>0%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0.66666666666666663</c:v>
                </c:pt>
                <c:pt idx="3">
                  <c:v>0.58333333333333337</c:v>
                </c:pt>
                <c:pt idx="4">
                  <c:v>0</c:v>
                </c:pt>
                <c:pt idx="5">
                  <c:v>0.45833333333333331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B-4E72-B509-53A6A95AFE1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0B-4E72-B509-53A6A95AFE1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BASE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'04'!$AE$6:$AE$27</c:f>
              <c:numCache>
                <c:formatCode>0%</c:formatCode>
                <c:ptCount val="22"/>
                <c:pt idx="0">
                  <c:v>0.44128787878787884</c:v>
                </c:pt>
                <c:pt idx="1">
                  <c:v>0.44128787878787884</c:v>
                </c:pt>
                <c:pt idx="2">
                  <c:v>0.44128787878787884</c:v>
                </c:pt>
                <c:pt idx="3">
                  <c:v>0.44128787878787884</c:v>
                </c:pt>
                <c:pt idx="4">
                  <c:v>0.44128787878787884</c:v>
                </c:pt>
                <c:pt idx="5">
                  <c:v>0.44128787878787884</c:v>
                </c:pt>
                <c:pt idx="6">
                  <c:v>0.44128787878787884</c:v>
                </c:pt>
                <c:pt idx="7">
                  <c:v>0.44128787878787884</c:v>
                </c:pt>
                <c:pt idx="8">
                  <c:v>0.44128787878787884</c:v>
                </c:pt>
                <c:pt idx="9">
                  <c:v>0.44128787878787884</c:v>
                </c:pt>
                <c:pt idx="10">
                  <c:v>0.44128787878787884</c:v>
                </c:pt>
                <c:pt idx="11">
                  <c:v>0.44128787878787884</c:v>
                </c:pt>
                <c:pt idx="12">
                  <c:v>0.44128787878787884</c:v>
                </c:pt>
                <c:pt idx="13">
                  <c:v>0.44128787878787884</c:v>
                </c:pt>
                <c:pt idx="14">
                  <c:v>0.44128787878787884</c:v>
                </c:pt>
                <c:pt idx="15">
                  <c:v>0.44128787878787884</c:v>
                </c:pt>
                <c:pt idx="16">
                  <c:v>0.44128787878787884</c:v>
                </c:pt>
                <c:pt idx="17">
                  <c:v>0.44128787878787884</c:v>
                </c:pt>
                <c:pt idx="18">
                  <c:v>0.44128787878787884</c:v>
                </c:pt>
                <c:pt idx="19">
                  <c:v>0.44128787878787884</c:v>
                </c:pt>
                <c:pt idx="20">
                  <c:v>0.44128787878787884</c:v>
                </c:pt>
                <c:pt idx="21">
                  <c:v>0.44128787878787884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B-4E72-B509-53A6A95A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19C-4E51-A5A7-9D5D9B216C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C-4E51-A5A7-9D5D9B216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19C-4E51-A5A7-9D5D9B216C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C-4E51-A5A7-9D5D9B216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05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320477502295683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82880"/>
        <c:axId val="3507018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82880"/>
        <c:axId val="350701824"/>
      </c:lineChart>
      <c:catAx>
        <c:axId val="19948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1824"/>
        <c:crosses val="autoZero"/>
        <c:auto val="1"/>
        <c:lblAlgn val="ctr"/>
        <c:lblOffset val="100"/>
        <c:noMultiLvlLbl val="0"/>
      </c:catAx>
      <c:valAx>
        <c:axId val="350701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48288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05</a:t>
            </a:r>
            <a:r>
              <a:rPr lang="ko-KR" altLang="en-US"/>
              <a:t>월 호기별 가동율</a:t>
            </a:r>
          </a:p>
        </c:rich>
      </c:tx>
      <c:layout>
        <c:manualLayout>
          <c:xMode val="edge"/>
          <c:yMode val="edge"/>
          <c:x val="0.35088156426374495"/>
          <c:y val="3.902439024390243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총괄!$A$3:$A$24</c:f>
              <c:strCache>
                <c:ptCount val="22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  <c:pt idx="15">
                  <c:v>16호기</c:v>
                </c:pt>
                <c:pt idx="16">
                  <c:v>31호기</c:v>
                </c:pt>
                <c:pt idx="17">
                  <c:v>32호기</c:v>
                </c:pt>
                <c:pt idx="18">
                  <c:v>33호기</c:v>
                </c:pt>
                <c:pt idx="19">
                  <c:v>34호기</c:v>
                </c:pt>
                <c:pt idx="20">
                  <c:v>35호기</c:v>
                </c:pt>
                <c:pt idx="21">
                  <c:v>36호기</c:v>
                </c:pt>
              </c:strCache>
            </c:strRef>
          </c:cat>
          <c:val>
            <c:numRef>
              <c:f>총괄!$AG$3:$AG$24</c:f>
              <c:numCache>
                <c:formatCode>0%</c:formatCode>
                <c:ptCount val="22"/>
                <c:pt idx="0">
                  <c:v>0.38037634408602139</c:v>
                </c:pt>
                <c:pt idx="1">
                  <c:v>0.54166666666666663</c:v>
                </c:pt>
                <c:pt idx="2">
                  <c:v>0.69623655913978488</c:v>
                </c:pt>
                <c:pt idx="3">
                  <c:v>0.75672043010752688</c:v>
                </c:pt>
                <c:pt idx="4">
                  <c:v>0.29166666666666663</c:v>
                </c:pt>
                <c:pt idx="5">
                  <c:v>0.48252688172043012</c:v>
                </c:pt>
                <c:pt idx="6">
                  <c:v>0.54569892473118287</c:v>
                </c:pt>
                <c:pt idx="7">
                  <c:v>0.66666666666666663</c:v>
                </c:pt>
                <c:pt idx="8">
                  <c:v>3.3602150537634407E-2</c:v>
                </c:pt>
                <c:pt idx="9">
                  <c:v>9.0053763440860204E-2</c:v>
                </c:pt>
                <c:pt idx="10">
                  <c:v>0.69892473118279552</c:v>
                </c:pt>
                <c:pt idx="11">
                  <c:v>0.6895161290322579</c:v>
                </c:pt>
                <c:pt idx="12">
                  <c:v>0.70168265793337736</c:v>
                </c:pt>
                <c:pt idx="13">
                  <c:v>0.57392473118279563</c:v>
                </c:pt>
                <c:pt idx="14">
                  <c:v>0.78897849462365588</c:v>
                </c:pt>
                <c:pt idx="15">
                  <c:v>0.69367373623066786</c:v>
                </c:pt>
                <c:pt idx="16">
                  <c:v>0</c:v>
                </c:pt>
                <c:pt idx="17">
                  <c:v>0</c:v>
                </c:pt>
                <c:pt idx="18">
                  <c:v>8.0645161290322578E-2</c:v>
                </c:pt>
                <c:pt idx="19">
                  <c:v>0</c:v>
                </c:pt>
                <c:pt idx="20">
                  <c:v>0</c:v>
                </c:pt>
                <c:pt idx="21">
                  <c:v>0.13978494623655915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D-4D4E-BB8E-38D09047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31008"/>
        <c:axId val="350704128"/>
      </c:barChart>
      <c:catAx>
        <c:axId val="1995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4128"/>
        <c:crosses val="autoZero"/>
        <c:auto val="1"/>
        <c:lblAlgn val="ctr"/>
        <c:lblOffset val="100"/>
        <c:noMultiLvlLbl val="0"/>
      </c:catAx>
      <c:valAx>
        <c:axId val="350704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53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BEF-44C2-AE67-178FE93DDD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F-44C2-AE67-178FE93D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BEF-44C2-AE67-178FE93DDDE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F-44C2-AE67-178FE93D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'05'!$D$6:$D$28</c:f>
              <c:strCache>
                <c:ptCount val="22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'05'!$L$6:$L$28</c:f>
              <c:numCache>
                <c:formatCode>_(* #,##0_);_(* \(#,##0\);_(* "-"_);_(@_)</c:formatCode>
                <c:ptCount val="23"/>
                <c:pt idx="0">
                  <c:v>11622</c:v>
                </c:pt>
                <c:pt idx="3">
                  <c:v>3887</c:v>
                </c:pt>
                <c:pt idx="6">
                  <c:v>5486</c:v>
                </c:pt>
                <c:pt idx="10">
                  <c:v>10844</c:v>
                </c:pt>
                <c:pt idx="11">
                  <c:v>1832</c:v>
                </c:pt>
                <c:pt idx="12">
                  <c:v>3680</c:v>
                </c:pt>
                <c:pt idx="13">
                  <c:v>11336</c:v>
                </c:pt>
                <c:pt idx="14">
                  <c:v>722</c:v>
                </c:pt>
                <c:pt idx="15">
                  <c:v>10620</c:v>
                </c:pt>
                <c:pt idx="16">
                  <c:v>61944</c:v>
                </c:pt>
                <c:pt idx="19">
                  <c:v>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F-4428-838E-93A7E7940747}"/>
            </c:ext>
          </c:extLst>
        </c:ser>
        <c:ser>
          <c:idx val="1"/>
          <c:order val="1"/>
          <c:tx>
            <c:v>계획</c:v>
          </c:tx>
          <c:cat>
            <c:strRef>
              <c:f>'05'!$D$6:$D$28</c:f>
              <c:strCache>
                <c:ptCount val="22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'05'!$J$6:$J$28</c:f>
              <c:numCache>
                <c:formatCode>_(* #,##0_);_(* \(#,##0\);_(* "-"_);_(@_)</c:formatCode>
                <c:ptCount val="23"/>
                <c:pt idx="0">
                  <c:v>11622</c:v>
                </c:pt>
                <c:pt idx="1">
                  <c:v>1500</c:v>
                </c:pt>
                <c:pt idx="2">
                  <c:v>3874</c:v>
                </c:pt>
                <c:pt idx="3">
                  <c:v>3887</c:v>
                </c:pt>
                <c:pt idx="4">
                  <c:v>10206</c:v>
                </c:pt>
                <c:pt idx="5">
                  <c:v>2187</c:v>
                </c:pt>
                <c:pt idx="6">
                  <c:v>5486</c:v>
                </c:pt>
                <c:pt idx="7">
                  <c:v>3204</c:v>
                </c:pt>
                <c:pt idx="8">
                  <c:v>608</c:v>
                </c:pt>
                <c:pt idx="9">
                  <c:v>12356</c:v>
                </c:pt>
                <c:pt idx="10">
                  <c:v>10844</c:v>
                </c:pt>
                <c:pt idx="11">
                  <c:v>1832</c:v>
                </c:pt>
                <c:pt idx="12">
                  <c:v>3680</c:v>
                </c:pt>
                <c:pt idx="13">
                  <c:v>11336</c:v>
                </c:pt>
                <c:pt idx="14">
                  <c:v>722</c:v>
                </c:pt>
                <c:pt idx="15">
                  <c:v>10620</c:v>
                </c:pt>
                <c:pt idx="16">
                  <c:v>61944</c:v>
                </c:pt>
                <c:pt idx="17">
                  <c:v>0</c:v>
                </c:pt>
                <c:pt idx="18">
                  <c:v>0</c:v>
                </c:pt>
                <c:pt idx="19">
                  <c:v>3244</c:v>
                </c:pt>
                <c:pt idx="20">
                  <c:v>9988</c:v>
                </c:pt>
                <c:pt idx="21">
                  <c:v>11600</c:v>
                </c:pt>
                <c:pt idx="22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F-4428-838E-93A7E794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'05'!$AD$6:$AD$28</c:f>
              <c:strCache>
                <c:ptCount val="23"/>
                <c:pt idx="0">
                  <c:v>100%</c:v>
                </c:pt>
                <c:pt idx="1">
                  <c:v>0%</c:v>
                </c:pt>
                <c:pt idx="2">
                  <c:v>0%</c:v>
                </c:pt>
                <c:pt idx="3">
                  <c:v>79%</c:v>
                </c:pt>
                <c:pt idx="4">
                  <c:v>0%</c:v>
                </c:pt>
                <c:pt idx="5">
                  <c:v>0%</c:v>
                </c:pt>
                <c:pt idx="6">
                  <c:v>100%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33%</c:v>
                </c:pt>
                <c:pt idx="12">
                  <c:v>58%</c:v>
                </c:pt>
                <c:pt idx="13">
                  <c:v>100%</c:v>
                </c:pt>
                <c:pt idx="14">
                  <c:v>42%</c:v>
                </c:pt>
                <c:pt idx="15">
                  <c:v>100%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50%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'05'!$D$6:$D$28</c:f>
              <c:strCache>
                <c:ptCount val="22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'05'!$AD$6:$AD$28</c:f>
              <c:numCache>
                <c:formatCode>0%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0.79166666666666663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0.33333333333333331</c:v>
                </c:pt>
                <c:pt idx="12">
                  <c:v>0.58333333333333337</c:v>
                </c:pt>
                <c:pt idx="13">
                  <c:v>1</c:v>
                </c:pt>
                <c:pt idx="14">
                  <c:v>0.41666666666666669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0-4B84-8580-6A26A87D61A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00-4B84-8580-6A26A87D61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'05'!$D$6:$D$28</c:f>
              <c:strCache>
                <c:ptCount val="22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'05'!$AE$6:$AE$28</c:f>
              <c:numCache>
                <c:formatCode>0%</c:formatCode>
                <c:ptCount val="23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0-4B84-8580-6A26A87D6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'05'!$D$6:$D$28</c:f>
              <c:strCache>
                <c:ptCount val="22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'05'!$L$6:$L$28</c:f>
              <c:numCache>
                <c:formatCode>_(* #,##0_);_(* \(#,##0\);_(* "-"_);_(@_)</c:formatCode>
                <c:ptCount val="23"/>
                <c:pt idx="0">
                  <c:v>11622</c:v>
                </c:pt>
                <c:pt idx="3">
                  <c:v>3887</c:v>
                </c:pt>
                <c:pt idx="6">
                  <c:v>5486</c:v>
                </c:pt>
                <c:pt idx="10">
                  <c:v>10844</c:v>
                </c:pt>
                <c:pt idx="11">
                  <c:v>1832</c:v>
                </c:pt>
                <c:pt idx="12">
                  <c:v>3680</c:v>
                </c:pt>
                <c:pt idx="13">
                  <c:v>11336</c:v>
                </c:pt>
                <c:pt idx="14">
                  <c:v>722</c:v>
                </c:pt>
                <c:pt idx="15">
                  <c:v>10620</c:v>
                </c:pt>
                <c:pt idx="16">
                  <c:v>61944</c:v>
                </c:pt>
                <c:pt idx="19">
                  <c:v>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3-48F7-84DD-59D1F96D7E08}"/>
            </c:ext>
          </c:extLst>
        </c:ser>
        <c:ser>
          <c:idx val="1"/>
          <c:order val="1"/>
          <c:tx>
            <c:v>계획</c:v>
          </c:tx>
          <c:cat>
            <c:strRef>
              <c:f>'05'!$D$6:$D$28</c:f>
              <c:strCache>
                <c:ptCount val="22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'05'!$J$6:$J$28</c:f>
              <c:numCache>
                <c:formatCode>_(* #,##0_);_(* \(#,##0\);_(* "-"_);_(@_)</c:formatCode>
                <c:ptCount val="23"/>
                <c:pt idx="0">
                  <c:v>11622</c:v>
                </c:pt>
                <c:pt idx="1">
                  <c:v>1500</c:v>
                </c:pt>
                <c:pt idx="2">
                  <c:v>3874</c:v>
                </c:pt>
                <c:pt idx="3">
                  <c:v>3887</c:v>
                </c:pt>
                <c:pt idx="4">
                  <c:v>10206</c:v>
                </c:pt>
                <c:pt idx="5">
                  <c:v>2187</c:v>
                </c:pt>
                <c:pt idx="6">
                  <c:v>5486</c:v>
                </c:pt>
                <c:pt idx="7">
                  <c:v>3204</c:v>
                </c:pt>
                <c:pt idx="8">
                  <c:v>608</c:v>
                </c:pt>
                <c:pt idx="9">
                  <c:v>12356</c:v>
                </c:pt>
                <c:pt idx="10">
                  <c:v>10844</c:v>
                </c:pt>
                <c:pt idx="11">
                  <c:v>1832</c:v>
                </c:pt>
                <c:pt idx="12">
                  <c:v>3680</c:v>
                </c:pt>
                <c:pt idx="13">
                  <c:v>11336</c:v>
                </c:pt>
                <c:pt idx="14">
                  <c:v>722</c:v>
                </c:pt>
                <c:pt idx="15">
                  <c:v>10620</c:v>
                </c:pt>
                <c:pt idx="16">
                  <c:v>61944</c:v>
                </c:pt>
                <c:pt idx="17">
                  <c:v>0</c:v>
                </c:pt>
                <c:pt idx="18">
                  <c:v>0</c:v>
                </c:pt>
                <c:pt idx="19">
                  <c:v>3244</c:v>
                </c:pt>
                <c:pt idx="20">
                  <c:v>9988</c:v>
                </c:pt>
                <c:pt idx="21">
                  <c:v>11600</c:v>
                </c:pt>
                <c:pt idx="22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3-48F7-84DD-59D1F96D7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'05'!$AD$6:$AD$28</c:f>
              <c:strCache>
                <c:ptCount val="23"/>
                <c:pt idx="0">
                  <c:v>100%</c:v>
                </c:pt>
                <c:pt idx="1">
                  <c:v>0%</c:v>
                </c:pt>
                <c:pt idx="2">
                  <c:v>0%</c:v>
                </c:pt>
                <c:pt idx="3">
                  <c:v>79%</c:v>
                </c:pt>
                <c:pt idx="4">
                  <c:v>0%</c:v>
                </c:pt>
                <c:pt idx="5">
                  <c:v>0%</c:v>
                </c:pt>
                <c:pt idx="6">
                  <c:v>100%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33%</c:v>
                </c:pt>
                <c:pt idx="12">
                  <c:v>58%</c:v>
                </c:pt>
                <c:pt idx="13">
                  <c:v>100%</c:v>
                </c:pt>
                <c:pt idx="14">
                  <c:v>42%</c:v>
                </c:pt>
                <c:pt idx="15">
                  <c:v>100%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50%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'05'!$D$6:$D$28</c:f>
              <c:strCache>
                <c:ptCount val="22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'05'!$AD$6:$AD$28</c:f>
              <c:numCache>
                <c:formatCode>0%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0.79166666666666663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0.33333333333333331</c:v>
                </c:pt>
                <c:pt idx="12">
                  <c:v>0.58333333333333337</c:v>
                </c:pt>
                <c:pt idx="13">
                  <c:v>1</c:v>
                </c:pt>
                <c:pt idx="14">
                  <c:v>0.41666666666666669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1-4EEF-92AB-484C4F2FA50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81-4EEF-92AB-484C4F2FA50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'05'!$D$6:$D$28</c:f>
              <c:strCache>
                <c:ptCount val="22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'05'!$AE$6:$AE$28</c:f>
              <c:numCache>
                <c:formatCode>0%</c:formatCode>
                <c:ptCount val="23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1-4EEF-92AB-484C4F2F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'01'!$AD$6:$AD$27</c:f>
              <c:strCache>
                <c:ptCount val="22"/>
                <c:pt idx="0">
                  <c:v>100%</c:v>
                </c:pt>
                <c:pt idx="1">
                  <c:v>0%</c:v>
                </c:pt>
                <c:pt idx="2">
                  <c:v>63%</c:v>
                </c:pt>
                <c:pt idx="3">
                  <c:v>63%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0%</c:v>
                </c:pt>
                <c:pt idx="8">
                  <c:v>25%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96%</c:v>
                </c:pt>
                <c:pt idx="13">
                  <c:v>58%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SLIDER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'01'!$AD$6:$AD$27</c:f>
              <c:numCache>
                <c:formatCode>0%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0.625</c:v>
                </c:pt>
                <c:pt idx="3">
                  <c:v>0.625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0.95833333333333337</c:v>
                </c:pt>
                <c:pt idx="13">
                  <c:v>0.58333333333333337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C-4729-968D-D11E520BB30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1C-4729-968D-D11E520BB30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SLIDER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'01'!$AE$6:$AE$27</c:f>
              <c:numCache>
                <c:formatCode>0%</c:formatCode>
                <c:ptCount val="22"/>
                <c:pt idx="0">
                  <c:v>0.41098484848484845</c:v>
                </c:pt>
                <c:pt idx="1">
                  <c:v>0.41098484848484845</c:v>
                </c:pt>
                <c:pt idx="2">
                  <c:v>0.41098484848484845</c:v>
                </c:pt>
                <c:pt idx="3">
                  <c:v>0.41098484848484845</c:v>
                </c:pt>
                <c:pt idx="4">
                  <c:v>0.41098484848484845</c:v>
                </c:pt>
                <c:pt idx="5">
                  <c:v>0.41098484848484845</c:v>
                </c:pt>
                <c:pt idx="6">
                  <c:v>0.41098484848484845</c:v>
                </c:pt>
                <c:pt idx="7">
                  <c:v>0.41098484848484845</c:v>
                </c:pt>
                <c:pt idx="8">
                  <c:v>0.41098484848484845</c:v>
                </c:pt>
                <c:pt idx="9">
                  <c:v>0.41098484848484845</c:v>
                </c:pt>
                <c:pt idx="10">
                  <c:v>0.41098484848484845</c:v>
                </c:pt>
                <c:pt idx="11">
                  <c:v>0.41098484848484845</c:v>
                </c:pt>
                <c:pt idx="12">
                  <c:v>0.41098484848484845</c:v>
                </c:pt>
                <c:pt idx="13">
                  <c:v>0.41098484848484845</c:v>
                </c:pt>
                <c:pt idx="14">
                  <c:v>0.41098484848484845</c:v>
                </c:pt>
                <c:pt idx="15">
                  <c:v>0.41098484848484845</c:v>
                </c:pt>
                <c:pt idx="16">
                  <c:v>0.41098484848484845</c:v>
                </c:pt>
                <c:pt idx="17">
                  <c:v>0.41098484848484845</c:v>
                </c:pt>
                <c:pt idx="18">
                  <c:v>0.41098484848484845</c:v>
                </c:pt>
                <c:pt idx="19">
                  <c:v>0.41098484848484845</c:v>
                </c:pt>
                <c:pt idx="20">
                  <c:v>0.41098484848484845</c:v>
                </c:pt>
                <c:pt idx="21">
                  <c:v>0.41098484848484845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C-4729-968D-D11E520B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212-4943-94A0-76CC659668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2-4943-94A0-76CC65966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212-4943-94A0-76CC6596685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2-4943-94A0-76CC65966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TOP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FLOATING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'06'!$L$6:$L$27</c:f>
              <c:numCache>
                <c:formatCode>_(* #,##0_);_(* \(#,##0\);_(* "-"_);_(@_)</c:formatCode>
                <c:ptCount val="22"/>
                <c:pt idx="0">
                  <c:v>11070</c:v>
                </c:pt>
                <c:pt idx="1">
                  <c:v>2217</c:v>
                </c:pt>
                <c:pt idx="2">
                  <c:v>2372</c:v>
                </c:pt>
                <c:pt idx="3">
                  <c:v>2239</c:v>
                </c:pt>
                <c:pt idx="5">
                  <c:v>4140</c:v>
                </c:pt>
                <c:pt idx="6">
                  <c:v>5473</c:v>
                </c:pt>
                <c:pt idx="10">
                  <c:v>8132</c:v>
                </c:pt>
                <c:pt idx="11">
                  <c:v>6049</c:v>
                </c:pt>
                <c:pt idx="12">
                  <c:v>11468</c:v>
                </c:pt>
                <c:pt idx="13">
                  <c:v>2408</c:v>
                </c:pt>
                <c:pt idx="14">
                  <c:v>10632</c:v>
                </c:pt>
                <c:pt idx="15">
                  <c:v>61688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1-4EA6-88CD-F12CA859DAEF}"/>
            </c:ext>
          </c:extLst>
        </c:ser>
        <c:ser>
          <c:idx val="1"/>
          <c:order val="1"/>
          <c:tx>
            <c:v>계획</c:v>
          </c:tx>
          <c:cat>
            <c:strRef>
              <c:f>'06'!$D$6:$D$27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TOP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FLOATING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'06'!$J$6:$J$27</c:f>
              <c:numCache>
                <c:formatCode>_(* #,##0_);_(* \(#,##0\);_(* "-"_);_(@_)</c:formatCode>
                <c:ptCount val="22"/>
                <c:pt idx="0">
                  <c:v>11070</c:v>
                </c:pt>
                <c:pt idx="1">
                  <c:v>2217</c:v>
                </c:pt>
                <c:pt idx="2">
                  <c:v>2372</c:v>
                </c:pt>
                <c:pt idx="3">
                  <c:v>2239</c:v>
                </c:pt>
                <c:pt idx="4">
                  <c:v>10206</c:v>
                </c:pt>
                <c:pt idx="5">
                  <c:v>4140</c:v>
                </c:pt>
                <c:pt idx="6">
                  <c:v>5473</c:v>
                </c:pt>
                <c:pt idx="7">
                  <c:v>3204</c:v>
                </c:pt>
                <c:pt idx="8">
                  <c:v>608</c:v>
                </c:pt>
                <c:pt idx="9">
                  <c:v>12356</c:v>
                </c:pt>
                <c:pt idx="10">
                  <c:v>8132</c:v>
                </c:pt>
                <c:pt idx="11">
                  <c:v>6049</c:v>
                </c:pt>
                <c:pt idx="12">
                  <c:v>11468</c:v>
                </c:pt>
                <c:pt idx="13">
                  <c:v>2408</c:v>
                </c:pt>
                <c:pt idx="14">
                  <c:v>10632</c:v>
                </c:pt>
                <c:pt idx="15">
                  <c:v>61688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1-4EA6-88CD-F12CA859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'06'!$AD$6:$AD$27</c:f>
              <c:strCache>
                <c:ptCount val="22"/>
                <c:pt idx="0">
                  <c:v>100%</c:v>
                </c:pt>
                <c:pt idx="1">
                  <c:v>50%</c:v>
                </c:pt>
                <c:pt idx="2">
                  <c:v>58%</c:v>
                </c:pt>
                <c:pt idx="3">
                  <c:v>42%</c:v>
                </c:pt>
                <c:pt idx="4">
                  <c:v>0%</c:v>
                </c:pt>
                <c:pt idx="5">
                  <c:v>79%</c:v>
                </c:pt>
                <c:pt idx="6">
                  <c:v>100%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96%</c:v>
                </c:pt>
                <c:pt idx="11">
                  <c:v>100%</c:v>
                </c:pt>
                <c:pt idx="12">
                  <c:v>100%</c:v>
                </c:pt>
                <c:pt idx="13">
                  <c:v>58%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TOP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FLOATING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'06'!$AD$6:$AD$27</c:f>
              <c:numCache>
                <c:formatCode>0%</c:formatCode>
                <c:ptCount val="22"/>
                <c:pt idx="0">
                  <c:v>1</c:v>
                </c:pt>
                <c:pt idx="1">
                  <c:v>0.5</c:v>
                </c:pt>
                <c:pt idx="2">
                  <c:v>0.58333333333333337</c:v>
                </c:pt>
                <c:pt idx="3">
                  <c:v>0.41666666666666669</c:v>
                </c:pt>
                <c:pt idx="4">
                  <c:v>0</c:v>
                </c:pt>
                <c:pt idx="5">
                  <c:v>0.79166666666666663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0.95833333333333337</c:v>
                </c:pt>
                <c:pt idx="11">
                  <c:v>1</c:v>
                </c:pt>
                <c:pt idx="12">
                  <c:v>1</c:v>
                </c:pt>
                <c:pt idx="13">
                  <c:v>0.58333333333333337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1-45BA-8288-ABB3DDA70C6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F1-45BA-8288-ABB3DDA70C6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TOP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FLOATING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'06'!$AE$6:$AE$27</c:f>
              <c:numCache>
                <c:formatCode>0%</c:formatCode>
                <c:ptCount val="22"/>
                <c:pt idx="0">
                  <c:v>0.44696969696969691</c:v>
                </c:pt>
                <c:pt idx="1">
                  <c:v>0.44696969696969691</c:v>
                </c:pt>
                <c:pt idx="2">
                  <c:v>0.44696969696969691</c:v>
                </c:pt>
                <c:pt idx="3">
                  <c:v>0.44696969696969691</c:v>
                </c:pt>
                <c:pt idx="4">
                  <c:v>0.44696969696969691</c:v>
                </c:pt>
                <c:pt idx="5">
                  <c:v>0.44696969696969691</c:v>
                </c:pt>
                <c:pt idx="6">
                  <c:v>0.44696969696969691</c:v>
                </c:pt>
                <c:pt idx="7">
                  <c:v>0.44696969696969691</c:v>
                </c:pt>
                <c:pt idx="8">
                  <c:v>0.44696969696969691</c:v>
                </c:pt>
                <c:pt idx="9">
                  <c:v>0.44696969696969691</c:v>
                </c:pt>
                <c:pt idx="10">
                  <c:v>0.44696969696969691</c:v>
                </c:pt>
                <c:pt idx="11">
                  <c:v>0.44696969696969691</c:v>
                </c:pt>
                <c:pt idx="12">
                  <c:v>0.44696969696969691</c:v>
                </c:pt>
                <c:pt idx="13">
                  <c:v>0.44696969696969691</c:v>
                </c:pt>
                <c:pt idx="14">
                  <c:v>0.44696969696969691</c:v>
                </c:pt>
                <c:pt idx="15">
                  <c:v>0.44696969696969691</c:v>
                </c:pt>
                <c:pt idx="16">
                  <c:v>0.44696969696969691</c:v>
                </c:pt>
                <c:pt idx="17">
                  <c:v>0.44696969696969691</c:v>
                </c:pt>
                <c:pt idx="18">
                  <c:v>0.44696969696969691</c:v>
                </c:pt>
                <c:pt idx="19">
                  <c:v>0.44696969696969691</c:v>
                </c:pt>
                <c:pt idx="20">
                  <c:v>0.44696969696969691</c:v>
                </c:pt>
                <c:pt idx="21">
                  <c:v>0.44696969696969691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1-45BA-8288-ABB3DDA7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TOP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FLOATING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'06'!$L$6:$L$27</c:f>
              <c:numCache>
                <c:formatCode>_(* #,##0_);_(* \(#,##0\);_(* "-"_);_(@_)</c:formatCode>
                <c:ptCount val="22"/>
                <c:pt idx="0">
                  <c:v>11070</c:v>
                </c:pt>
                <c:pt idx="1">
                  <c:v>2217</c:v>
                </c:pt>
                <c:pt idx="2">
                  <c:v>2372</c:v>
                </c:pt>
                <c:pt idx="3">
                  <c:v>2239</c:v>
                </c:pt>
                <c:pt idx="5">
                  <c:v>4140</c:v>
                </c:pt>
                <c:pt idx="6">
                  <c:v>5473</c:v>
                </c:pt>
                <c:pt idx="10">
                  <c:v>8132</c:v>
                </c:pt>
                <c:pt idx="11">
                  <c:v>6049</c:v>
                </c:pt>
                <c:pt idx="12">
                  <c:v>11468</c:v>
                </c:pt>
                <c:pt idx="13">
                  <c:v>2408</c:v>
                </c:pt>
                <c:pt idx="14">
                  <c:v>10632</c:v>
                </c:pt>
                <c:pt idx="15">
                  <c:v>61688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A-4E68-9536-865E1C432867}"/>
            </c:ext>
          </c:extLst>
        </c:ser>
        <c:ser>
          <c:idx val="1"/>
          <c:order val="1"/>
          <c:tx>
            <c:v>계획</c:v>
          </c:tx>
          <c:cat>
            <c:strRef>
              <c:f>'06'!$D$6:$D$27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TOP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FLOATING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'06'!$J$6:$J$27</c:f>
              <c:numCache>
                <c:formatCode>_(* #,##0_);_(* \(#,##0\);_(* "-"_);_(@_)</c:formatCode>
                <c:ptCount val="22"/>
                <c:pt idx="0">
                  <c:v>11070</c:v>
                </c:pt>
                <c:pt idx="1">
                  <c:v>2217</c:v>
                </c:pt>
                <c:pt idx="2">
                  <c:v>2372</c:v>
                </c:pt>
                <c:pt idx="3">
                  <c:v>2239</c:v>
                </c:pt>
                <c:pt idx="4">
                  <c:v>10206</c:v>
                </c:pt>
                <c:pt idx="5">
                  <c:v>4140</c:v>
                </c:pt>
                <c:pt idx="6">
                  <c:v>5473</c:v>
                </c:pt>
                <c:pt idx="7">
                  <c:v>3204</c:v>
                </c:pt>
                <c:pt idx="8">
                  <c:v>608</c:v>
                </c:pt>
                <c:pt idx="9">
                  <c:v>12356</c:v>
                </c:pt>
                <c:pt idx="10">
                  <c:v>8132</c:v>
                </c:pt>
                <c:pt idx="11">
                  <c:v>6049</c:v>
                </c:pt>
                <c:pt idx="12">
                  <c:v>11468</c:v>
                </c:pt>
                <c:pt idx="13">
                  <c:v>2408</c:v>
                </c:pt>
                <c:pt idx="14">
                  <c:v>10632</c:v>
                </c:pt>
                <c:pt idx="15">
                  <c:v>61688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A-4E68-9536-865E1C43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'06'!$AD$6:$AD$27</c:f>
              <c:strCache>
                <c:ptCount val="22"/>
                <c:pt idx="0">
                  <c:v>100%</c:v>
                </c:pt>
                <c:pt idx="1">
                  <c:v>50%</c:v>
                </c:pt>
                <c:pt idx="2">
                  <c:v>58%</c:v>
                </c:pt>
                <c:pt idx="3">
                  <c:v>42%</c:v>
                </c:pt>
                <c:pt idx="4">
                  <c:v>0%</c:v>
                </c:pt>
                <c:pt idx="5">
                  <c:v>79%</c:v>
                </c:pt>
                <c:pt idx="6">
                  <c:v>100%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96%</c:v>
                </c:pt>
                <c:pt idx="11">
                  <c:v>100%</c:v>
                </c:pt>
                <c:pt idx="12">
                  <c:v>100%</c:v>
                </c:pt>
                <c:pt idx="13">
                  <c:v>58%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TOP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FLOATING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'06'!$AD$6:$AD$27</c:f>
              <c:numCache>
                <c:formatCode>0%</c:formatCode>
                <c:ptCount val="22"/>
                <c:pt idx="0">
                  <c:v>1</c:v>
                </c:pt>
                <c:pt idx="1">
                  <c:v>0.5</c:v>
                </c:pt>
                <c:pt idx="2">
                  <c:v>0.58333333333333337</c:v>
                </c:pt>
                <c:pt idx="3">
                  <c:v>0.41666666666666669</c:v>
                </c:pt>
                <c:pt idx="4">
                  <c:v>0</c:v>
                </c:pt>
                <c:pt idx="5">
                  <c:v>0.79166666666666663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0.95833333333333337</c:v>
                </c:pt>
                <c:pt idx="11">
                  <c:v>1</c:v>
                </c:pt>
                <c:pt idx="12">
                  <c:v>1</c:v>
                </c:pt>
                <c:pt idx="13">
                  <c:v>0.58333333333333337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5-46AB-B196-8882E44DC8A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85-46AB-B196-8882E44DC8A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TOP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FLOATING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'06'!$AE$6:$AE$27</c:f>
              <c:numCache>
                <c:formatCode>0%</c:formatCode>
                <c:ptCount val="22"/>
                <c:pt idx="0">
                  <c:v>0.44696969696969691</c:v>
                </c:pt>
                <c:pt idx="1">
                  <c:v>0.44696969696969691</c:v>
                </c:pt>
                <c:pt idx="2">
                  <c:v>0.44696969696969691</c:v>
                </c:pt>
                <c:pt idx="3">
                  <c:v>0.44696969696969691</c:v>
                </c:pt>
                <c:pt idx="4">
                  <c:v>0.44696969696969691</c:v>
                </c:pt>
                <c:pt idx="5">
                  <c:v>0.44696969696969691</c:v>
                </c:pt>
                <c:pt idx="6">
                  <c:v>0.44696969696969691</c:v>
                </c:pt>
                <c:pt idx="7">
                  <c:v>0.44696969696969691</c:v>
                </c:pt>
                <c:pt idx="8">
                  <c:v>0.44696969696969691</c:v>
                </c:pt>
                <c:pt idx="9">
                  <c:v>0.44696969696969691</c:v>
                </c:pt>
                <c:pt idx="10">
                  <c:v>0.44696969696969691</c:v>
                </c:pt>
                <c:pt idx="11">
                  <c:v>0.44696969696969691</c:v>
                </c:pt>
                <c:pt idx="12">
                  <c:v>0.44696969696969691</c:v>
                </c:pt>
                <c:pt idx="13">
                  <c:v>0.44696969696969691</c:v>
                </c:pt>
                <c:pt idx="14">
                  <c:v>0.44696969696969691</c:v>
                </c:pt>
                <c:pt idx="15">
                  <c:v>0.44696969696969691</c:v>
                </c:pt>
                <c:pt idx="16">
                  <c:v>0.44696969696969691</c:v>
                </c:pt>
                <c:pt idx="17">
                  <c:v>0.44696969696969691</c:v>
                </c:pt>
                <c:pt idx="18">
                  <c:v>0.44696969696969691</c:v>
                </c:pt>
                <c:pt idx="19">
                  <c:v>0.44696969696969691</c:v>
                </c:pt>
                <c:pt idx="20">
                  <c:v>0.44696969696969691</c:v>
                </c:pt>
                <c:pt idx="21">
                  <c:v>0.44696969696969691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5-46AB-B196-8882E44DC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B6D-4AEF-AB24-1D53F3A168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D-4AEF-AB24-1D53F3A1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B6D-4AEF-AB24-1D53F3A1688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D-4AEF-AB24-1D53F3A1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BOTTOM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'07'!$L$6:$L$27</c:f>
              <c:numCache>
                <c:formatCode>_(* #,##0_);_(* \(#,##0\);_(* "-"_);_(@_)</c:formatCode>
                <c:ptCount val="22"/>
                <c:pt idx="0">
                  <c:v>11640</c:v>
                </c:pt>
                <c:pt idx="1">
                  <c:v>10130</c:v>
                </c:pt>
                <c:pt idx="2">
                  <c:v>2262</c:v>
                </c:pt>
                <c:pt idx="5">
                  <c:v>4270</c:v>
                </c:pt>
                <c:pt idx="6">
                  <c:v>5555</c:v>
                </c:pt>
                <c:pt idx="7">
                  <c:v>6644</c:v>
                </c:pt>
                <c:pt idx="10">
                  <c:v>2757</c:v>
                </c:pt>
                <c:pt idx="11">
                  <c:v>4690</c:v>
                </c:pt>
                <c:pt idx="12">
                  <c:v>11654</c:v>
                </c:pt>
                <c:pt idx="13">
                  <c:v>3173</c:v>
                </c:pt>
                <c:pt idx="14">
                  <c:v>10760</c:v>
                </c:pt>
                <c:pt idx="15">
                  <c:v>54824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4-4B48-96CB-8293CCAD7EE6}"/>
            </c:ext>
          </c:extLst>
        </c:ser>
        <c:ser>
          <c:idx val="1"/>
          <c:order val="1"/>
          <c:tx>
            <c:v>계획</c:v>
          </c:tx>
          <c:cat>
            <c:strRef>
              <c:f>'07'!$D$6:$D$27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BOTTOM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'07'!$J$6:$J$27</c:f>
              <c:numCache>
                <c:formatCode>_(* #,##0_);_(* \(#,##0\);_(* "-"_);_(@_)</c:formatCode>
                <c:ptCount val="22"/>
                <c:pt idx="0">
                  <c:v>11640</c:v>
                </c:pt>
                <c:pt idx="1">
                  <c:v>10130</c:v>
                </c:pt>
                <c:pt idx="2">
                  <c:v>2262</c:v>
                </c:pt>
                <c:pt idx="3">
                  <c:v>2239</c:v>
                </c:pt>
                <c:pt idx="4">
                  <c:v>10206</c:v>
                </c:pt>
                <c:pt idx="5">
                  <c:v>4270</c:v>
                </c:pt>
                <c:pt idx="6">
                  <c:v>5555</c:v>
                </c:pt>
                <c:pt idx="7">
                  <c:v>6644</c:v>
                </c:pt>
                <c:pt idx="8">
                  <c:v>608</c:v>
                </c:pt>
                <c:pt idx="9">
                  <c:v>12356</c:v>
                </c:pt>
                <c:pt idx="10">
                  <c:v>2757</c:v>
                </c:pt>
                <c:pt idx="11">
                  <c:v>4690</c:v>
                </c:pt>
                <c:pt idx="12">
                  <c:v>11654</c:v>
                </c:pt>
                <c:pt idx="13">
                  <c:v>3173</c:v>
                </c:pt>
                <c:pt idx="14">
                  <c:v>10760</c:v>
                </c:pt>
                <c:pt idx="15">
                  <c:v>54824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4-4B48-96CB-8293CCAD7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'07'!$AD$6:$AD$27</c:f>
              <c:strCache>
                <c:ptCount val="22"/>
                <c:pt idx="0">
                  <c:v>100%</c:v>
                </c:pt>
                <c:pt idx="1">
                  <c:v>96%</c:v>
                </c:pt>
                <c:pt idx="2">
                  <c:v>21%</c:v>
                </c:pt>
                <c:pt idx="3">
                  <c:v>0%</c:v>
                </c:pt>
                <c:pt idx="4">
                  <c:v>0%</c:v>
                </c:pt>
                <c:pt idx="5">
                  <c:v>83%</c:v>
                </c:pt>
                <c:pt idx="6">
                  <c:v>100%</c:v>
                </c:pt>
                <c:pt idx="7">
                  <c:v>63%</c:v>
                </c:pt>
                <c:pt idx="8">
                  <c:v>0%</c:v>
                </c:pt>
                <c:pt idx="9">
                  <c:v>0%</c:v>
                </c:pt>
                <c:pt idx="10">
                  <c:v>71%</c:v>
                </c:pt>
                <c:pt idx="11">
                  <c:v>100%</c:v>
                </c:pt>
                <c:pt idx="12">
                  <c:v>100%</c:v>
                </c:pt>
                <c:pt idx="13">
                  <c:v>67%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BOTTOM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'07'!$AD$6:$AD$27</c:f>
              <c:numCache>
                <c:formatCode>0%</c:formatCode>
                <c:ptCount val="22"/>
                <c:pt idx="0">
                  <c:v>1</c:v>
                </c:pt>
                <c:pt idx="1">
                  <c:v>0.95833333333333337</c:v>
                </c:pt>
                <c:pt idx="2">
                  <c:v>0.20833333333333334</c:v>
                </c:pt>
                <c:pt idx="3">
                  <c:v>0</c:v>
                </c:pt>
                <c:pt idx="4">
                  <c:v>0</c:v>
                </c:pt>
                <c:pt idx="5">
                  <c:v>0.83333333333333337</c:v>
                </c:pt>
                <c:pt idx="6">
                  <c:v>1</c:v>
                </c:pt>
                <c:pt idx="7">
                  <c:v>0.625</c:v>
                </c:pt>
                <c:pt idx="8">
                  <c:v>0</c:v>
                </c:pt>
                <c:pt idx="9">
                  <c:v>0</c:v>
                </c:pt>
                <c:pt idx="10">
                  <c:v>0.70833333333333337</c:v>
                </c:pt>
                <c:pt idx="11">
                  <c:v>1</c:v>
                </c:pt>
                <c:pt idx="12">
                  <c:v>1</c:v>
                </c:pt>
                <c:pt idx="13">
                  <c:v>0.66666666666666663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1-4E1F-A3B5-C10A50098EB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A1-4E1F-A3B5-C10A50098E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BOTTOM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'07'!$AE$6:$AE$27</c:f>
              <c:numCache>
                <c:formatCode>0%</c:formatCode>
                <c:ptCount val="22"/>
                <c:pt idx="0">
                  <c:v>0.45454545454545453</c:v>
                </c:pt>
                <c:pt idx="1">
                  <c:v>0.45454545454545453</c:v>
                </c:pt>
                <c:pt idx="2">
                  <c:v>0.45454545454545453</c:v>
                </c:pt>
                <c:pt idx="3">
                  <c:v>0.45454545454545453</c:v>
                </c:pt>
                <c:pt idx="4">
                  <c:v>0.45454545454545453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0.45454545454545453</c:v>
                </c:pt>
                <c:pt idx="11">
                  <c:v>0.45454545454545453</c:v>
                </c:pt>
                <c:pt idx="12">
                  <c:v>0.45454545454545453</c:v>
                </c:pt>
                <c:pt idx="13">
                  <c:v>0.45454545454545453</c:v>
                </c:pt>
                <c:pt idx="14">
                  <c:v>0.45454545454545453</c:v>
                </c:pt>
                <c:pt idx="15">
                  <c:v>0.45454545454545453</c:v>
                </c:pt>
                <c:pt idx="16">
                  <c:v>0.45454545454545453</c:v>
                </c:pt>
                <c:pt idx="17">
                  <c:v>0.45454545454545453</c:v>
                </c:pt>
                <c:pt idx="18">
                  <c:v>0.45454545454545453</c:v>
                </c:pt>
                <c:pt idx="19">
                  <c:v>0.45454545454545453</c:v>
                </c:pt>
                <c:pt idx="20">
                  <c:v>0.45454545454545453</c:v>
                </c:pt>
                <c:pt idx="21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1-4E1F-A3B5-C10A50098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BOTTOM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'07'!$L$6:$L$27</c:f>
              <c:numCache>
                <c:formatCode>_(* #,##0_);_(* \(#,##0\);_(* "-"_);_(@_)</c:formatCode>
                <c:ptCount val="22"/>
                <c:pt idx="0">
                  <c:v>11640</c:v>
                </c:pt>
                <c:pt idx="1">
                  <c:v>10130</c:v>
                </c:pt>
                <c:pt idx="2">
                  <c:v>2262</c:v>
                </c:pt>
                <c:pt idx="5">
                  <c:v>4270</c:v>
                </c:pt>
                <c:pt idx="6">
                  <c:v>5555</c:v>
                </c:pt>
                <c:pt idx="7">
                  <c:v>6644</c:v>
                </c:pt>
                <c:pt idx="10">
                  <c:v>2757</c:v>
                </c:pt>
                <c:pt idx="11">
                  <c:v>4690</c:v>
                </c:pt>
                <c:pt idx="12">
                  <c:v>11654</c:v>
                </c:pt>
                <c:pt idx="13">
                  <c:v>3173</c:v>
                </c:pt>
                <c:pt idx="14">
                  <c:v>10760</c:v>
                </c:pt>
                <c:pt idx="15">
                  <c:v>54824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5-428B-ACC3-5A2D4095023C}"/>
            </c:ext>
          </c:extLst>
        </c:ser>
        <c:ser>
          <c:idx val="1"/>
          <c:order val="1"/>
          <c:tx>
            <c:v>계획</c:v>
          </c:tx>
          <c:cat>
            <c:strRef>
              <c:f>'07'!$D$6:$D$27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BOTTOM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'07'!$J$6:$J$27</c:f>
              <c:numCache>
                <c:formatCode>_(* #,##0_);_(* \(#,##0\);_(* "-"_);_(@_)</c:formatCode>
                <c:ptCount val="22"/>
                <c:pt idx="0">
                  <c:v>11640</c:v>
                </c:pt>
                <c:pt idx="1">
                  <c:v>10130</c:v>
                </c:pt>
                <c:pt idx="2">
                  <c:v>2262</c:v>
                </c:pt>
                <c:pt idx="3">
                  <c:v>2239</c:v>
                </c:pt>
                <c:pt idx="4">
                  <c:v>10206</c:v>
                </c:pt>
                <c:pt idx="5">
                  <c:v>4270</c:v>
                </c:pt>
                <c:pt idx="6">
                  <c:v>5555</c:v>
                </c:pt>
                <c:pt idx="7">
                  <c:v>6644</c:v>
                </c:pt>
                <c:pt idx="8">
                  <c:v>608</c:v>
                </c:pt>
                <c:pt idx="9">
                  <c:v>12356</c:v>
                </c:pt>
                <c:pt idx="10">
                  <c:v>2757</c:v>
                </c:pt>
                <c:pt idx="11">
                  <c:v>4690</c:v>
                </c:pt>
                <c:pt idx="12">
                  <c:v>11654</c:v>
                </c:pt>
                <c:pt idx="13">
                  <c:v>3173</c:v>
                </c:pt>
                <c:pt idx="14">
                  <c:v>10760</c:v>
                </c:pt>
                <c:pt idx="15">
                  <c:v>54824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5-428B-ACC3-5A2D4095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'07'!$AD$6:$AD$27</c:f>
              <c:strCache>
                <c:ptCount val="22"/>
                <c:pt idx="0">
                  <c:v>100%</c:v>
                </c:pt>
                <c:pt idx="1">
                  <c:v>96%</c:v>
                </c:pt>
                <c:pt idx="2">
                  <c:v>21%</c:v>
                </c:pt>
                <c:pt idx="3">
                  <c:v>0%</c:v>
                </c:pt>
                <c:pt idx="4">
                  <c:v>0%</c:v>
                </c:pt>
                <c:pt idx="5">
                  <c:v>83%</c:v>
                </c:pt>
                <c:pt idx="6">
                  <c:v>100%</c:v>
                </c:pt>
                <c:pt idx="7">
                  <c:v>63%</c:v>
                </c:pt>
                <c:pt idx="8">
                  <c:v>0%</c:v>
                </c:pt>
                <c:pt idx="9">
                  <c:v>0%</c:v>
                </c:pt>
                <c:pt idx="10">
                  <c:v>71%</c:v>
                </c:pt>
                <c:pt idx="11">
                  <c:v>100%</c:v>
                </c:pt>
                <c:pt idx="12">
                  <c:v>100%</c:v>
                </c:pt>
                <c:pt idx="13">
                  <c:v>67%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BOTTOM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'07'!$AD$6:$AD$27</c:f>
              <c:numCache>
                <c:formatCode>0%</c:formatCode>
                <c:ptCount val="22"/>
                <c:pt idx="0">
                  <c:v>1</c:v>
                </c:pt>
                <c:pt idx="1">
                  <c:v>0.95833333333333337</c:v>
                </c:pt>
                <c:pt idx="2">
                  <c:v>0.20833333333333334</c:v>
                </c:pt>
                <c:pt idx="3">
                  <c:v>0</c:v>
                </c:pt>
                <c:pt idx="4">
                  <c:v>0</c:v>
                </c:pt>
                <c:pt idx="5">
                  <c:v>0.83333333333333337</c:v>
                </c:pt>
                <c:pt idx="6">
                  <c:v>1</c:v>
                </c:pt>
                <c:pt idx="7">
                  <c:v>0.625</c:v>
                </c:pt>
                <c:pt idx="8">
                  <c:v>0</c:v>
                </c:pt>
                <c:pt idx="9">
                  <c:v>0</c:v>
                </c:pt>
                <c:pt idx="10">
                  <c:v>0.70833333333333337</c:v>
                </c:pt>
                <c:pt idx="11">
                  <c:v>1</c:v>
                </c:pt>
                <c:pt idx="12">
                  <c:v>1</c:v>
                </c:pt>
                <c:pt idx="13">
                  <c:v>0.66666666666666663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E-4895-B9D0-83125D046FF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AE-4895-B9D0-83125D046F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BOTTOM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'07'!$AE$6:$AE$27</c:f>
              <c:numCache>
                <c:formatCode>0%</c:formatCode>
                <c:ptCount val="22"/>
                <c:pt idx="0">
                  <c:v>0.45454545454545453</c:v>
                </c:pt>
                <c:pt idx="1">
                  <c:v>0.45454545454545453</c:v>
                </c:pt>
                <c:pt idx="2">
                  <c:v>0.45454545454545453</c:v>
                </c:pt>
                <c:pt idx="3">
                  <c:v>0.45454545454545453</c:v>
                </c:pt>
                <c:pt idx="4">
                  <c:v>0.45454545454545453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0.45454545454545453</c:v>
                </c:pt>
                <c:pt idx="11">
                  <c:v>0.45454545454545453</c:v>
                </c:pt>
                <c:pt idx="12">
                  <c:v>0.45454545454545453</c:v>
                </c:pt>
                <c:pt idx="13">
                  <c:v>0.45454545454545453</c:v>
                </c:pt>
                <c:pt idx="14">
                  <c:v>0.45454545454545453</c:v>
                </c:pt>
                <c:pt idx="15">
                  <c:v>0.45454545454545453</c:v>
                </c:pt>
                <c:pt idx="16">
                  <c:v>0.45454545454545453</c:v>
                </c:pt>
                <c:pt idx="17">
                  <c:v>0.45454545454545453</c:v>
                </c:pt>
                <c:pt idx="18">
                  <c:v>0.45454545454545453</c:v>
                </c:pt>
                <c:pt idx="19">
                  <c:v>0.45454545454545453</c:v>
                </c:pt>
                <c:pt idx="20">
                  <c:v>0.45454545454545453</c:v>
                </c:pt>
                <c:pt idx="21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E-4895-B9D0-83125D046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SLIDER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'01'!$L$6:$L$27</c:f>
              <c:numCache>
                <c:formatCode>_(* #,##0_);_(* \(#,##0\);_(* "-"_);_(@_)</c:formatCode>
                <c:ptCount val="22"/>
                <c:pt idx="0">
                  <c:v>11584</c:v>
                </c:pt>
                <c:pt idx="2">
                  <c:v>3474</c:v>
                </c:pt>
                <c:pt idx="3">
                  <c:v>3360</c:v>
                </c:pt>
                <c:pt idx="4">
                  <c:v>10206</c:v>
                </c:pt>
                <c:pt idx="6">
                  <c:v>5313</c:v>
                </c:pt>
                <c:pt idx="8">
                  <c:v>290</c:v>
                </c:pt>
                <c:pt idx="10">
                  <c:v>11860</c:v>
                </c:pt>
                <c:pt idx="12">
                  <c:v>9952</c:v>
                </c:pt>
                <c:pt idx="13">
                  <c:v>2783</c:v>
                </c:pt>
                <c:pt idx="14">
                  <c:v>10236</c:v>
                </c:pt>
                <c:pt idx="15">
                  <c:v>56540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C-4776-9D40-358081434EB8}"/>
            </c:ext>
          </c:extLst>
        </c:ser>
        <c:ser>
          <c:idx val="1"/>
          <c:order val="1"/>
          <c:tx>
            <c:v>계획</c:v>
          </c:tx>
          <c:cat>
            <c:strRef>
              <c:f>'01'!$D$6:$D$27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SLIDER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'01'!$J$6:$J$27</c:f>
              <c:numCache>
                <c:formatCode>_(* #,##0_);_(* \(#,##0\);_(* "-"_);_(@_)</c:formatCode>
                <c:ptCount val="22"/>
                <c:pt idx="0">
                  <c:v>11584</c:v>
                </c:pt>
                <c:pt idx="1">
                  <c:v>1500</c:v>
                </c:pt>
                <c:pt idx="2">
                  <c:v>3474</c:v>
                </c:pt>
                <c:pt idx="3">
                  <c:v>3360</c:v>
                </c:pt>
                <c:pt idx="4">
                  <c:v>10206</c:v>
                </c:pt>
                <c:pt idx="5">
                  <c:v>1460</c:v>
                </c:pt>
                <c:pt idx="6">
                  <c:v>5313</c:v>
                </c:pt>
                <c:pt idx="7">
                  <c:v>3204</c:v>
                </c:pt>
                <c:pt idx="8">
                  <c:v>290</c:v>
                </c:pt>
                <c:pt idx="9">
                  <c:v>12356</c:v>
                </c:pt>
                <c:pt idx="10">
                  <c:v>11860</c:v>
                </c:pt>
                <c:pt idx="11">
                  <c:v>1472</c:v>
                </c:pt>
                <c:pt idx="12">
                  <c:v>9952</c:v>
                </c:pt>
                <c:pt idx="13">
                  <c:v>2783</c:v>
                </c:pt>
                <c:pt idx="14">
                  <c:v>10236</c:v>
                </c:pt>
                <c:pt idx="15">
                  <c:v>56540</c:v>
                </c:pt>
                <c:pt idx="16">
                  <c:v>0</c:v>
                </c:pt>
                <c:pt idx="17">
                  <c:v>0</c:v>
                </c:pt>
                <c:pt idx="18">
                  <c:v>7084</c:v>
                </c:pt>
                <c:pt idx="19">
                  <c:v>9988</c:v>
                </c:pt>
                <c:pt idx="20">
                  <c:v>11600</c:v>
                </c:pt>
                <c:pt idx="21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C-4776-9D40-35808143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FFE-4A3E-91D6-5EB5A162EA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E-4A3E-91D6-5EB5A162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FFE-4A3E-91D6-5EB5A162EA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E-4A3E-91D6-5EB5A162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'08'!$L$6:$L$27</c:f>
              <c:numCache>
                <c:formatCode>_(* #,##0_);_(* \(#,##0\);_(* "-"_);_(@_)</c:formatCode>
                <c:ptCount val="22"/>
                <c:pt idx="0">
                  <c:v>11234</c:v>
                </c:pt>
                <c:pt idx="1">
                  <c:v>8365</c:v>
                </c:pt>
                <c:pt idx="2">
                  <c:v>5886</c:v>
                </c:pt>
                <c:pt idx="3">
                  <c:v>3580</c:v>
                </c:pt>
                <c:pt idx="5">
                  <c:v>2327</c:v>
                </c:pt>
                <c:pt idx="6">
                  <c:v>4631</c:v>
                </c:pt>
                <c:pt idx="7">
                  <c:v>12322</c:v>
                </c:pt>
                <c:pt idx="10">
                  <c:v>2920</c:v>
                </c:pt>
                <c:pt idx="12">
                  <c:v>10384</c:v>
                </c:pt>
                <c:pt idx="13">
                  <c:v>5073</c:v>
                </c:pt>
                <c:pt idx="14">
                  <c:v>10206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3-4BF6-AEED-C174A0771DF9}"/>
            </c:ext>
          </c:extLst>
        </c:ser>
        <c:ser>
          <c:idx val="1"/>
          <c:order val="1"/>
          <c:tx>
            <c:v>계획</c:v>
          </c:tx>
          <c:cat>
            <c:strRef>
              <c:f>'08'!$D$6:$D$27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'08'!$J$6:$J$27</c:f>
              <c:numCache>
                <c:formatCode>_(* #,##0_);_(* \(#,##0\);_(* "-"_);_(@_)</c:formatCode>
                <c:ptCount val="22"/>
                <c:pt idx="0">
                  <c:v>11234</c:v>
                </c:pt>
                <c:pt idx="1">
                  <c:v>8365</c:v>
                </c:pt>
                <c:pt idx="2">
                  <c:v>5886</c:v>
                </c:pt>
                <c:pt idx="3">
                  <c:v>3580</c:v>
                </c:pt>
                <c:pt idx="4">
                  <c:v>10206</c:v>
                </c:pt>
                <c:pt idx="5">
                  <c:v>2327</c:v>
                </c:pt>
                <c:pt idx="6">
                  <c:v>4631</c:v>
                </c:pt>
                <c:pt idx="7">
                  <c:v>12322</c:v>
                </c:pt>
                <c:pt idx="8">
                  <c:v>608</c:v>
                </c:pt>
                <c:pt idx="9">
                  <c:v>12356</c:v>
                </c:pt>
                <c:pt idx="10">
                  <c:v>2920</c:v>
                </c:pt>
                <c:pt idx="11">
                  <c:v>4690</c:v>
                </c:pt>
                <c:pt idx="12">
                  <c:v>10384</c:v>
                </c:pt>
                <c:pt idx="13">
                  <c:v>5073</c:v>
                </c:pt>
                <c:pt idx="14">
                  <c:v>10206</c:v>
                </c:pt>
                <c:pt idx="15">
                  <c:v>54824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3-4BF6-AEED-C174A0771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'08'!$AD$6:$AD$27</c:f>
              <c:strCache>
                <c:ptCount val="22"/>
                <c:pt idx="0">
                  <c:v>100%</c:v>
                </c:pt>
                <c:pt idx="1">
                  <c:v>96%</c:v>
                </c:pt>
                <c:pt idx="2">
                  <c:v>58%</c:v>
                </c:pt>
                <c:pt idx="3">
                  <c:v>83%</c:v>
                </c:pt>
                <c:pt idx="4">
                  <c:v>0%</c:v>
                </c:pt>
                <c:pt idx="5">
                  <c:v>46%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83%</c:v>
                </c:pt>
                <c:pt idx="11">
                  <c:v>0%</c:v>
                </c:pt>
                <c:pt idx="12">
                  <c:v>92%</c:v>
                </c:pt>
                <c:pt idx="13">
                  <c:v>100%</c:v>
                </c:pt>
                <c:pt idx="14">
                  <c:v>100%</c:v>
                </c:pt>
                <c:pt idx="15">
                  <c:v>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'08'!$AD$6:$AD$27</c:f>
              <c:numCache>
                <c:formatCode>0%</c:formatCode>
                <c:ptCount val="22"/>
                <c:pt idx="0">
                  <c:v>1</c:v>
                </c:pt>
                <c:pt idx="1">
                  <c:v>0.95833333333333337</c:v>
                </c:pt>
                <c:pt idx="2">
                  <c:v>0.58333333333333337</c:v>
                </c:pt>
                <c:pt idx="3">
                  <c:v>0.83333333333333337</c:v>
                </c:pt>
                <c:pt idx="4">
                  <c:v>0</c:v>
                </c:pt>
                <c:pt idx="5">
                  <c:v>0.45833333333333331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0.83333333333333337</c:v>
                </c:pt>
                <c:pt idx="11">
                  <c:v>0</c:v>
                </c:pt>
                <c:pt idx="12">
                  <c:v>0.91666666666666663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C-45A6-A20D-DB7E4F7A75E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2C-45A6-A20D-DB7E4F7A75E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'08'!$AE$6:$AE$27</c:f>
              <c:numCache>
                <c:formatCode>0%</c:formatCode>
                <c:ptCount val="22"/>
                <c:pt idx="0">
                  <c:v>0.43560606060606061</c:v>
                </c:pt>
                <c:pt idx="1">
                  <c:v>0.43560606060606061</c:v>
                </c:pt>
                <c:pt idx="2">
                  <c:v>0.43560606060606061</c:v>
                </c:pt>
                <c:pt idx="3">
                  <c:v>0.43560606060606061</c:v>
                </c:pt>
                <c:pt idx="4">
                  <c:v>0.43560606060606061</c:v>
                </c:pt>
                <c:pt idx="5">
                  <c:v>0.43560606060606061</c:v>
                </c:pt>
                <c:pt idx="6">
                  <c:v>0.43560606060606061</c:v>
                </c:pt>
                <c:pt idx="7">
                  <c:v>0.43560606060606061</c:v>
                </c:pt>
                <c:pt idx="8">
                  <c:v>0.43560606060606061</c:v>
                </c:pt>
                <c:pt idx="9">
                  <c:v>0.43560606060606061</c:v>
                </c:pt>
                <c:pt idx="10">
                  <c:v>0.43560606060606061</c:v>
                </c:pt>
                <c:pt idx="11">
                  <c:v>0.43560606060606061</c:v>
                </c:pt>
                <c:pt idx="12">
                  <c:v>0.43560606060606061</c:v>
                </c:pt>
                <c:pt idx="13">
                  <c:v>0.43560606060606061</c:v>
                </c:pt>
                <c:pt idx="14">
                  <c:v>0.43560606060606061</c:v>
                </c:pt>
                <c:pt idx="15">
                  <c:v>0.43560606060606061</c:v>
                </c:pt>
                <c:pt idx="16">
                  <c:v>0.43560606060606061</c:v>
                </c:pt>
                <c:pt idx="17">
                  <c:v>0.43560606060606061</c:v>
                </c:pt>
                <c:pt idx="18">
                  <c:v>0.43560606060606061</c:v>
                </c:pt>
                <c:pt idx="19">
                  <c:v>0.43560606060606061</c:v>
                </c:pt>
                <c:pt idx="20">
                  <c:v>0.43560606060606061</c:v>
                </c:pt>
                <c:pt idx="21">
                  <c:v>0.43560606060606061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C-45A6-A20D-DB7E4F7A7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'08'!$L$6:$L$27</c:f>
              <c:numCache>
                <c:formatCode>_(* #,##0_);_(* \(#,##0\);_(* "-"_);_(@_)</c:formatCode>
                <c:ptCount val="22"/>
                <c:pt idx="0">
                  <c:v>11234</c:v>
                </c:pt>
                <c:pt idx="1">
                  <c:v>8365</c:v>
                </c:pt>
                <c:pt idx="2">
                  <c:v>5886</c:v>
                </c:pt>
                <c:pt idx="3">
                  <c:v>3580</c:v>
                </c:pt>
                <c:pt idx="5">
                  <c:v>2327</c:v>
                </c:pt>
                <c:pt idx="6">
                  <c:v>4631</c:v>
                </c:pt>
                <c:pt idx="7">
                  <c:v>12322</c:v>
                </c:pt>
                <c:pt idx="10">
                  <c:v>2920</c:v>
                </c:pt>
                <c:pt idx="12">
                  <c:v>10384</c:v>
                </c:pt>
                <c:pt idx="13">
                  <c:v>5073</c:v>
                </c:pt>
                <c:pt idx="14">
                  <c:v>10206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9-408F-B841-E39FF90E5499}"/>
            </c:ext>
          </c:extLst>
        </c:ser>
        <c:ser>
          <c:idx val="1"/>
          <c:order val="1"/>
          <c:tx>
            <c:v>계획</c:v>
          </c:tx>
          <c:cat>
            <c:strRef>
              <c:f>'08'!$D$6:$D$27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'08'!$J$6:$J$27</c:f>
              <c:numCache>
                <c:formatCode>_(* #,##0_);_(* \(#,##0\);_(* "-"_);_(@_)</c:formatCode>
                <c:ptCount val="22"/>
                <c:pt idx="0">
                  <c:v>11234</c:v>
                </c:pt>
                <c:pt idx="1">
                  <c:v>8365</c:v>
                </c:pt>
                <c:pt idx="2">
                  <c:v>5886</c:v>
                </c:pt>
                <c:pt idx="3">
                  <c:v>3580</c:v>
                </c:pt>
                <c:pt idx="4">
                  <c:v>10206</c:v>
                </c:pt>
                <c:pt idx="5">
                  <c:v>2327</c:v>
                </c:pt>
                <c:pt idx="6">
                  <c:v>4631</c:v>
                </c:pt>
                <c:pt idx="7">
                  <c:v>12322</c:v>
                </c:pt>
                <c:pt idx="8">
                  <c:v>608</c:v>
                </c:pt>
                <c:pt idx="9">
                  <c:v>12356</c:v>
                </c:pt>
                <c:pt idx="10">
                  <c:v>2920</c:v>
                </c:pt>
                <c:pt idx="11">
                  <c:v>4690</c:v>
                </c:pt>
                <c:pt idx="12">
                  <c:v>10384</c:v>
                </c:pt>
                <c:pt idx="13">
                  <c:v>5073</c:v>
                </c:pt>
                <c:pt idx="14">
                  <c:v>10206</c:v>
                </c:pt>
                <c:pt idx="15">
                  <c:v>54824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9-408F-B841-E39FF90E5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'08'!$AD$6:$AD$27</c:f>
              <c:strCache>
                <c:ptCount val="22"/>
                <c:pt idx="0">
                  <c:v>100%</c:v>
                </c:pt>
                <c:pt idx="1">
                  <c:v>96%</c:v>
                </c:pt>
                <c:pt idx="2">
                  <c:v>58%</c:v>
                </c:pt>
                <c:pt idx="3">
                  <c:v>83%</c:v>
                </c:pt>
                <c:pt idx="4">
                  <c:v>0%</c:v>
                </c:pt>
                <c:pt idx="5">
                  <c:v>46%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83%</c:v>
                </c:pt>
                <c:pt idx="11">
                  <c:v>0%</c:v>
                </c:pt>
                <c:pt idx="12">
                  <c:v>92%</c:v>
                </c:pt>
                <c:pt idx="13">
                  <c:v>100%</c:v>
                </c:pt>
                <c:pt idx="14">
                  <c:v>100%</c:v>
                </c:pt>
                <c:pt idx="15">
                  <c:v>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'08'!$AD$6:$AD$27</c:f>
              <c:numCache>
                <c:formatCode>0%</c:formatCode>
                <c:ptCount val="22"/>
                <c:pt idx="0">
                  <c:v>1</c:v>
                </c:pt>
                <c:pt idx="1">
                  <c:v>0.95833333333333337</c:v>
                </c:pt>
                <c:pt idx="2">
                  <c:v>0.58333333333333337</c:v>
                </c:pt>
                <c:pt idx="3">
                  <c:v>0.83333333333333337</c:v>
                </c:pt>
                <c:pt idx="4">
                  <c:v>0</c:v>
                </c:pt>
                <c:pt idx="5">
                  <c:v>0.45833333333333331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0.83333333333333337</c:v>
                </c:pt>
                <c:pt idx="11">
                  <c:v>0</c:v>
                </c:pt>
                <c:pt idx="12">
                  <c:v>0.91666666666666663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6-4BE0-962A-0A2AD9F7523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66-4BE0-962A-0A2AD9F752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'08'!$D$6:$D$27</c:f>
              <c:strCache>
                <c:ptCount val="21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'08'!$AE$6:$AE$27</c:f>
              <c:numCache>
                <c:formatCode>0%</c:formatCode>
                <c:ptCount val="22"/>
                <c:pt idx="0">
                  <c:v>0.43560606060606061</c:v>
                </c:pt>
                <c:pt idx="1">
                  <c:v>0.43560606060606061</c:v>
                </c:pt>
                <c:pt idx="2">
                  <c:v>0.43560606060606061</c:v>
                </c:pt>
                <c:pt idx="3">
                  <c:v>0.43560606060606061</c:v>
                </c:pt>
                <c:pt idx="4">
                  <c:v>0.43560606060606061</c:v>
                </c:pt>
                <c:pt idx="5">
                  <c:v>0.43560606060606061</c:v>
                </c:pt>
                <c:pt idx="6">
                  <c:v>0.43560606060606061</c:v>
                </c:pt>
                <c:pt idx="7">
                  <c:v>0.43560606060606061</c:v>
                </c:pt>
                <c:pt idx="8">
                  <c:v>0.43560606060606061</c:v>
                </c:pt>
                <c:pt idx="9">
                  <c:v>0.43560606060606061</c:v>
                </c:pt>
                <c:pt idx="10">
                  <c:v>0.43560606060606061</c:v>
                </c:pt>
                <c:pt idx="11">
                  <c:v>0.43560606060606061</c:v>
                </c:pt>
                <c:pt idx="12">
                  <c:v>0.43560606060606061</c:v>
                </c:pt>
                <c:pt idx="13">
                  <c:v>0.43560606060606061</c:v>
                </c:pt>
                <c:pt idx="14">
                  <c:v>0.43560606060606061</c:v>
                </c:pt>
                <c:pt idx="15">
                  <c:v>0.43560606060606061</c:v>
                </c:pt>
                <c:pt idx="16">
                  <c:v>0.43560606060606061</c:v>
                </c:pt>
                <c:pt idx="17">
                  <c:v>0.43560606060606061</c:v>
                </c:pt>
                <c:pt idx="18">
                  <c:v>0.43560606060606061</c:v>
                </c:pt>
                <c:pt idx="19">
                  <c:v>0.43560606060606061</c:v>
                </c:pt>
                <c:pt idx="20">
                  <c:v>0.43560606060606061</c:v>
                </c:pt>
                <c:pt idx="21">
                  <c:v>0.43560606060606061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6-4BE0-962A-0A2AD9F75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13F-44C9-9C15-FF5893ED60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F-44C9-9C15-FF5893ED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13F-44C9-9C15-FF5893ED60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F-44C9-9C15-FF5893ED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'10'!$D$6:$D$27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</c:strCache>
            </c:strRef>
          </c:cat>
          <c:val>
            <c:numRef>
              <c:f>'10'!$L$6:$L$27</c:f>
              <c:numCache>
                <c:formatCode>_(* #,##0_);_(* \(#,##0\);_(* "-"_);_(@_)</c:formatCode>
                <c:ptCount val="16"/>
                <c:pt idx="1">
                  <c:v>2335</c:v>
                </c:pt>
                <c:pt idx="2">
                  <c:v>10522</c:v>
                </c:pt>
                <c:pt idx="3">
                  <c:v>4048</c:v>
                </c:pt>
                <c:pt idx="6">
                  <c:v>4872</c:v>
                </c:pt>
                <c:pt idx="7">
                  <c:v>12086</c:v>
                </c:pt>
                <c:pt idx="11">
                  <c:v>16652</c:v>
                </c:pt>
                <c:pt idx="12">
                  <c:v>11002</c:v>
                </c:pt>
                <c:pt idx="14">
                  <c:v>10136</c:v>
                </c:pt>
                <c:pt idx="15">
                  <c:v>48172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E-42FD-8824-0E559D0F99A6}"/>
            </c:ext>
          </c:extLst>
        </c:ser>
        <c:ser>
          <c:idx val="1"/>
          <c:order val="1"/>
          <c:tx>
            <c:v>계획</c:v>
          </c:tx>
          <c:cat>
            <c:strRef>
              <c:f>'10'!$D$6:$D$27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</c:strCache>
            </c:strRef>
          </c:cat>
          <c:val>
            <c:numRef>
              <c:f>'10'!$J$6:$J$27</c:f>
              <c:numCache>
                <c:formatCode>_(* #,##0_);_(* \(#,##0\);_(* "-"_);_(@_)</c:formatCode>
                <c:ptCount val="16"/>
                <c:pt idx="0">
                  <c:v>11234</c:v>
                </c:pt>
                <c:pt idx="1">
                  <c:v>2335</c:v>
                </c:pt>
                <c:pt idx="2">
                  <c:v>10522</c:v>
                </c:pt>
                <c:pt idx="3">
                  <c:v>4048</c:v>
                </c:pt>
                <c:pt idx="4">
                  <c:v>10206</c:v>
                </c:pt>
                <c:pt idx="5">
                  <c:v>2327</c:v>
                </c:pt>
                <c:pt idx="6">
                  <c:v>4872</c:v>
                </c:pt>
                <c:pt idx="7">
                  <c:v>12086</c:v>
                </c:pt>
                <c:pt idx="8">
                  <c:v>608</c:v>
                </c:pt>
                <c:pt idx="9">
                  <c:v>12356</c:v>
                </c:pt>
                <c:pt idx="10">
                  <c:v>2920</c:v>
                </c:pt>
                <c:pt idx="11">
                  <c:v>16652</c:v>
                </c:pt>
                <c:pt idx="12">
                  <c:v>11002</c:v>
                </c:pt>
                <c:pt idx="13">
                  <c:v>5073</c:v>
                </c:pt>
                <c:pt idx="14">
                  <c:v>10136</c:v>
                </c:pt>
                <c:pt idx="15">
                  <c:v>48172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E-42FD-8824-0E559D0F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'10'!$AD$6:$AD$27</c:f>
              <c:strCache>
                <c:ptCount val="22"/>
                <c:pt idx="0">
                  <c:v>0%</c:v>
                </c:pt>
                <c:pt idx="1">
                  <c:v>46%</c:v>
                </c:pt>
                <c:pt idx="2">
                  <c:v>96%</c:v>
                </c:pt>
                <c:pt idx="3">
                  <c:v>100%</c:v>
                </c:pt>
                <c:pt idx="4">
                  <c:v>0%</c:v>
                </c:pt>
                <c:pt idx="5">
                  <c:v>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83%</c:v>
                </c:pt>
                <c:pt idx="12">
                  <c:v>100%</c:v>
                </c:pt>
                <c:pt idx="13">
                  <c:v>0%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'10'!$D$6:$D$27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</c:strCache>
            </c:strRef>
          </c:cat>
          <c:val>
            <c:numRef>
              <c:f>'10'!$AD$6:$AD$27</c:f>
              <c:numCache>
                <c:formatCode>0%</c:formatCode>
                <c:ptCount val="16"/>
                <c:pt idx="0">
                  <c:v>0</c:v>
                </c:pt>
                <c:pt idx="1">
                  <c:v>0.45833333333333331</c:v>
                </c:pt>
                <c:pt idx="2">
                  <c:v>0.95833333333333337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0.83333333333333337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3-428D-8970-51A2E0D8D82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53-428D-8970-51A2E0D8D8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'10'!$D$6:$D$27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</c:strCache>
            </c:strRef>
          </c:cat>
          <c:val>
            <c:numRef>
              <c:f>'10'!$AE$6:$AE$27</c:f>
              <c:numCache>
                <c:formatCode>0%</c:formatCode>
                <c:ptCount val="16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3-428D-8970-51A2E0D8D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'10'!$D$6:$D$27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</c:strCache>
            </c:strRef>
          </c:cat>
          <c:val>
            <c:numRef>
              <c:f>'10'!$L$6:$L$27</c:f>
              <c:numCache>
                <c:formatCode>_(* #,##0_);_(* \(#,##0\);_(* "-"_);_(@_)</c:formatCode>
                <c:ptCount val="16"/>
                <c:pt idx="1">
                  <c:v>2335</c:v>
                </c:pt>
                <c:pt idx="2">
                  <c:v>10522</c:v>
                </c:pt>
                <c:pt idx="3">
                  <c:v>4048</c:v>
                </c:pt>
                <c:pt idx="6">
                  <c:v>4872</c:v>
                </c:pt>
                <c:pt idx="7">
                  <c:v>12086</c:v>
                </c:pt>
                <c:pt idx="11">
                  <c:v>16652</c:v>
                </c:pt>
                <c:pt idx="12">
                  <c:v>11002</c:v>
                </c:pt>
                <c:pt idx="14">
                  <c:v>10136</c:v>
                </c:pt>
                <c:pt idx="15">
                  <c:v>48172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0-4C68-A5BD-6934450F2904}"/>
            </c:ext>
          </c:extLst>
        </c:ser>
        <c:ser>
          <c:idx val="1"/>
          <c:order val="1"/>
          <c:tx>
            <c:v>계획</c:v>
          </c:tx>
          <c:cat>
            <c:strRef>
              <c:f>'10'!$D$6:$D$27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</c:strCache>
            </c:strRef>
          </c:cat>
          <c:val>
            <c:numRef>
              <c:f>'10'!$J$6:$J$27</c:f>
              <c:numCache>
                <c:formatCode>_(* #,##0_);_(* \(#,##0\);_(* "-"_);_(@_)</c:formatCode>
                <c:ptCount val="16"/>
                <c:pt idx="0">
                  <c:v>11234</c:v>
                </c:pt>
                <c:pt idx="1">
                  <c:v>2335</c:v>
                </c:pt>
                <c:pt idx="2">
                  <c:v>10522</c:v>
                </c:pt>
                <c:pt idx="3">
                  <c:v>4048</c:v>
                </c:pt>
                <c:pt idx="4">
                  <c:v>10206</c:v>
                </c:pt>
                <c:pt idx="5">
                  <c:v>2327</c:v>
                </c:pt>
                <c:pt idx="6">
                  <c:v>4872</c:v>
                </c:pt>
                <c:pt idx="7">
                  <c:v>12086</c:v>
                </c:pt>
                <c:pt idx="8">
                  <c:v>608</c:v>
                </c:pt>
                <c:pt idx="9">
                  <c:v>12356</c:v>
                </c:pt>
                <c:pt idx="10">
                  <c:v>2920</c:v>
                </c:pt>
                <c:pt idx="11">
                  <c:v>16652</c:v>
                </c:pt>
                <c:pt idx="12">
                  <c:v>11002</c:v>
                </c:pt>
                <c:pt idx="13">
                  <c:v>5073</c:v>
                </c:pt>
                <c:pt idx="14">
                  <c:v>10136</c:v>
                </c:pt>
                <c:pt idx="15">
                  <c:v>48172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0-4C68-A5BD-6934450F2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'10'!$AD$6:$AD$27</c:f>
              <c:strCache>
                <c:ptCount val="22"/>
                <c:pt idx="0">
                  <c:v>0%</c:v>
                </c:pt>
                <c:pt idx="1">
                  <c:v>46%</c:v>
                </c:pt>
                <c:pt idx="2">
                  <c:v>96%</c:v>
                </c:pt>
                <c:pt idx="3">
                  <c:v>100%</c:v>
                </c:pt>
                <c:pt idx="4">
                  <c:v>0%</c:v>
                </c:pt>
                <c:pt idx="5">
                  <c:v>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83%</c:v>
                </c:pt>
                <c:pt idx="12">
                  <c:v>100%</c:v>
                </c:pt>
                <c:pt idx="13">
                  <c:v>0%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'10'!$D$6:$D$27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</c:strCache>
            </c:strRef>
          </c:cat>
          <c:val>
            <c:numRef>
              <c:f>'10'!$AD$6:$AD$27</c:f>
              <c:numCache>
                <c:formatCode>0%</c:formatCode>
                <c:ptCount val="16"/>
                <c:pt idx="0">
                  <c:v>0</c:v>
                </c:pt>
                <c:pt idx="1">
                  <c:v>0.45833333333333331</c:v>
                </c:pt>
                <c:pt idx="2">
                  <c:v>0.95833333333333337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0.83333333333333337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A-4EFB-B93D-68908C4A883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7A-4EFB-B93D-68908C4A88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'10'!$D$6:$D$27</c:f>
              <c:strCache>
                <c:ptCount val="15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</c:strCache>
            </c:strRef>
          </c:cat>
          <c:val>
            <c:numRef>
              <c:f>'10'!$AE$6:$AE$27</c:f>
              <c:numCache>
                <c:formatCode>0%</c:formatCode>
                <c:ptCount val="16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7A-4EFB-B93D-68908C4A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'01'!$AD$6:$AD$27</c:f>
              <c:strCache>
                <c:ptCount val="22"/>
                <c:pt idx="0">
                  <c:v>100%</c:v>
                </c:pt>
                <c:pt idx="1">
                  <c:v>0%</c:v>
                </c:pt>
                <c:pt idx="2">
                  <c:v>63%</c:v>
                </c:pt>
                <c:pt idx="3">
                  <c:v>63%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0%</c:v>
                </c:pt>
                <c:pt idx="8">
                  <c:v>25%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96%</c:v>
                </c:pt>
                <c:pt idx="13">
                  <c:v>58%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SLIDER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'01'!$AD$6:$AD$27</c:f>
              <c:numCache>
                <c:formatCode>0%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0.625</c:v>
                </c:pt>
                <c:pt idx="3">
                  <c:v>0.625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0.95833333333333337</c:v>
                </c:pt>
                <c:pt idx="13">
                  <c:v>0.58333333333333337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C-49B3-B417-751C029BB5A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3C-49B3-B417-751C029BB5A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SLIDER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'01'!$AE$6:$AE$27</c:f>
              <c:numCache>
                <c:formatCode>0%</c:formatCode>
                <c:ptCount val="22"/>
                <c:pt idx="0">
                  <c:v>0.41098484848484845</c:v>
                </c:pt>
                <c:pt idx="1">
                  <c:v>0.41098484848484845</c:v>
                </c:pt>
                <c:pt idx="2">
                  <c:v>0.41098484848484845</c:v>
                </c:pt>
                <c:pt idx="3">
                  <c:v>0.41098484848484845</c:v>
                </c:pt>
                <c:pt idx="4">
                  <c:v>0.41098484848484845</c:v>
                </c:pt>
                <c:pt idx="5">
                  <c:v>0.41098484848484845</c:v>
                </c:pt>
                <c:pt idx="6">
                  <c:v>0.41098484848484845</c:v>
                </c:pt>
                <c:pt idx="7">
                  <c:v>0.41098484848484845</c:v>
                </c:pt>
                <c:pt idx="8">
                  <c:v>0.41098484848484845</c:v>
                </c:pt>
                <c:pt idx="9">
                  <c:v>0.41098484848484845</c:v>
                </c:pt>
                <c:pt idx="10">
                  <c:v>0.41098484848484845</c:v>
                </c:pt>
                <c:pt idx="11">
                  <c:v>0.41098484848484845</c:v>
                </c:pt>
                <c:pt idx="12">
                  <c:v>0.41098484848484845</c:v>
                </c:pt>
                <c:pt idx="13">
                  <c:v>0.41098484848484845</c:v>
                </c:pt>
                <c:pt idx="14">
                  <c:v>0.41098484848484845</c:v>
                </c:pt>
                <c:pt idx="15">
                  <c:v>0.41098484848484845</c:v>
                </c:pt>
                <c:pt idx="16">
                  <c:v>0.41098484848484845</c:v>
                </c:pt>
                <c:pt idx="17">
                  <c:v>0.41098484848484845</c:v>
                </c:pt>
                <c:pt idx="18">
                  <c:v>0.41098484848484845</c:v>
                </c:pt>
                <c:pt idx="19">
                  <c:v>0.41098484848484845</c:v>
                </c:pt>
                <c:pt idx="20">
                  <c:v>0.41098484848484845</c:v>
                </c:pt>
                <c:pt idx="21">
                  <c:v>0.41098484848484845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C-49B3-B417-751C029B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EA9-4275-BE09-C81441E97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9-4275-BE09-C81441E97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EA9-4275-BE09-C81441E977B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A9-4275-BE09-C81441E97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'11'!$D$6:$D$28</c:f>
              <c:strCache>
                <c:ptCount val="22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6">
                  <c:v>38P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BASE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'11'!$L$6:$L$28</c:f>
              <c:numCache>
                <c:formatCode>_(* #,##0_);_(* \(#,##0\);_(* "-"_);_(@_)</c:formatCode>
                <c:ptCount val="23"/>
                <c:pt idx="0">
                  <c:v>5200</c:v>
                </c:pt>
                <c:pt idx="1">
                  <c:v>4268</c:v>
                </c:pt>
                <c:pt idx="2">
                  <c:v>11854</c:v>
                </c:pt>
                <c:pt idx="3">
                  <c:v>10280</c:v>
                </c:pt>
                <c:pt idx="5">
                  <c:v>1826</c:v>
                </c:pt>
                <c:pt idx="6">
                  <c:v>1189</c:v>
                </c:pt>
                <c:pt idx="7">
                  <c:v>5172</c:v>
                </c:pt>
                <c:pt idx="8">
                  <c:v>12660</c:v>
                </c:pt>
                <c:pt idx="11">
                  <c:v>4010</c:v>
                </c:pt>
                <c:pt idx="12">
                  <c:v>24516</c:v>
                </c:pt>
                <c:pt idx="13">
                  <c:v>11590</c:v>
                </c:pt>
                <c:pt idx="14">
                  <c:v>1131</c:v>
                </c:pt>
                <c:pt idx="15">
                  <c:v>10692</c:v>
                </c:pt>
                <c:pt idx="16">
                  <c:v>25797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F-4D77-90F4-6C805C887C7C}"/>
            </c:ext>
          </c:extLst>
        </c:ser>
        <c:ser>
          <c:idx val="1"/>
          <c:order val="1"/>
          <c:tx>
            <c:v>계획</c:v>
          </c:tx>
          <c:cat>
            <c:strRef>
              <c:f>'11'!$D$6:$D$28</c:f>
              <c:strCache>
                <c:ptCount val="22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6">
                  <c:v>38P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BASE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'11'!$J$6:$J$28</c:f>
              <c:numCache>
                <c:formatCode>_(* #,##0_);_(* \(#,##0\);_(* "-"_);_(@_)</c:formatCode>
                <c:ptCount val="23"/>
                <c:pt idx="0">
                  <c:v>5200</c:v>
                </c:pt>
                <c:pt idx="1">
                  <c:v>4268</c:v>
                </c:pt>
                <c:pt idx="2">
                  <c:v>11854</c:v>
                </c:pt>
                <c:pt idx="3">
                  <c:v>10280</c:v>
                </c:pt>
                <c:pt idx="4">
                  <c:v>10206</c:v>
                </c:pt>
                <c:pt idx="5">
                  <c:v>1826</c:v>
                </c:pt>
                <c:pt idx="6">
                  <c:v>1189</c:v>
                </c:pt>
                <c:pt idx="7">
                  <c:v>5172</c:v>
                </c:pt>
                <c:pt idx="8">
                  <c:v>12660</c:v>
                </c:pt>
                <c:pt idx="9">
                  <c:v>608</c:v>
                </c:pt>
                <c:pt idx="10">
                  <c:v>12356</c:v>
                </c:pt>
                <c:pt idx="11">
                  <c:v>4010</c:v>
                </c:pt>
                <c:pt idx="12">
                  <c:v>24516</c:v>
                </c:pt>
                <c:pt idx="13">
                  <c:v>11590</c:v>
                </c:pt>
                <c:pt idx="14">
                  <c:v>1131</c:v>
                </c:pt>
                <c:pt idx="15">
                  <c:v>10692</c:v>
                </c:pt>
                <c:pt idx="16">
                  <c:v>25797</c:v>
                </c:pt>
                <c:pt idx="17">
                  <c:v>0</c:v>
                </c:pt>
                <c:pt idx="18">
                  <c:v>0</c:v>
                </c:pt>
                <c:pt idx="19">
                  <c:v>3244</c:v>
                </c:pt>
                <c:pt idx="20">
                  <c:v>9988</c:v>
                </c:pt>
                <c:pt idx="21">
                  <c:v>11600</c:v>
                </c:pt>
                <c:pt idx="22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F-4D77-90F4-6C805C887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'11'!$AD$6:$AD$28</c:f>
              <c:strCache>
                <c:ptCount val="23"/>
                <c:pt idx="0">
                  <c:v>58%</c:v>
                </c:pt>
                <c:pt idx="1">
                  <c:v>88%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38%</c:v>
                </c:pt>
                <c:pt idx="6">
                  <c:v>29%</c:v>
                </c:pt>
                <c:pt idx="7">
                  <c:v>100%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83%</c:v>
                </c:pt>
                <c:pt idx="12">
                  <c:v>100%</c:v>
                </c:pt>
                <c:pt idx="13">
                  <c:v>100%</c:v>
                </c:pt>
                <c:pt idx="14">
                  <c:v>67%</c:v>
                </c:pt>
                <c:pt idx="15">
                  <c:v>100%</c:v>
                </c:pt>
                <c:pt idx="16">
                  <c:v>54%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'11'!$D$6:$D$28</c:f>
              <c:strCache>
                <c:ptCount val="22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6">
                  <c:v>38P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BASE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'11'!$AD$6:$AD$28</c:f>
              <c:numCache>
                <c:formatCode>0%</c:formatCode>
                <c:ptCount val="23"/>
                <c:pt idx="0">
                  <c:v>0.58333333333333337</c:v>
                </c:pt>
                <c:pt idx="1">
                  <c:v>0.875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0.375</c:v>
                </c:pt>
                <c:pt idx="6">
                  <c:v>0.29166666666666669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0.83333333333333337</c:v>
                </c:pt>
                <c:pt idx="12">
                  <c:v>1</c:v>
                </c:pt>
                <c:pt idx="13">
                  <c:v>1</c:v>
                </c:pt>
                <c:pt idx="14">
                  <c:v>0.66666666666666663</c:v>
                </c:pt>
                <c:pt idx="15">
                  <c:v>1</c:v>
                </c:pt>
                <c:pt idx="16">
                  <c:v>0.54166666666666663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9-4A9C-85E1-5DF2A21A528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49-4A9C-85E1-5DF2A21A52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'11'!$D$6:$D$28</c:f>
              <c:strCache>
                <c:ptCount val="22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6">
                  <c:v>38P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BASE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'11'!$AE$6:$AE$28</c:f>
              <c:numCache>
                <c:formatCode>0%</c:formatCode>
                <c:ptCount val="23"/>
                <c:pt idx="0">
                  <c:v>0.48550724637681147</c:v>
                </c:pt>
                <c:pt idx="1">
                  <c:v>0.48550724637681147</c:v>
                </c:pt>
                <c:pt idx="2">
                  <c:v>0.48550724637681147</c:v>
                </c:pt>
                <c:pt idx="3">
                  <c:v>0.48550724637681147</c:v>
                </c:pt>
                <c:pt idx="4">
                  <c:v>0.48550724637681147</c:v>
                </c:pt>
                <c:pt idx="5">
                  <c:v>0.48550724637681147</c:v>
                </c:pt>
                <c:pt idx="6">
                  <c:v>0.48550724637681147</c:v>
                </c:pt>
                <c:pt idx="7">
                  <c:v>0.48550724637681147</c:v>
                </c:pt>
                <c:pt idx="8">
                  <c:v>0.48550724637681147</c:v>
                </c:pt>
                <c:pt idx="9">
                  <c:v>0.48550724637681147</c:v>
                </c:pt>
                <c:pt idx="10">
                  <c:v>0.48550724637681147</c:v>
                </c:pt>
                <c:pt idx="11">
                  <c:v>0.48550724637681147</c:v>
                </c:pt>
                <c:pt idx="12">
                  <c:v>0.48550724637681147</c:v>
                </c:pt>
                <c:pt idx="13">
                  <c:v>0.48550724637681147</c:v>
                </c:pt>
                <c:pt idx="14">
                  <c:v>0.48550724637681147</c:v>
                </c:pt>
                <c:pt idx="15">
                  <c:v>0.48550724637681147</c:v>
                </c:pt>
                <c:pt idx="16">
                  <c:v>0.48550724637681147</c:v>
                </c:pt>
                <c:pt idx="17">
                  <c:v>0.48550724637681147</c:v>
                </c:pt>
                <c:pt idx="18">
                  <c:v>0.48550724637681147</c:v>
                </c:pt>
                <c:pt idx="19">
                  <c:v>0.48550724637681147</c:v>
                </c:pt>
                <c:pt idx="20">
                  <c:v>0.48550724637681147</c:v>
                </c:pt>
                <c:pt idx="21">
                  <c:v>0.48550724637681147</c:v>
                </c:pt>
                <c:pt idx="22">
                  <c:v>0.48550724637681147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9-4A9C-85E1-5DF2A21A5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'11'!$D$6:$D$28</c:f>
              <c:strCache>
                <c:ptCount val="22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6">
                  <c:v>38P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BASE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'11'!$L$6:$L$28</c:f>
              <c:numCache>
                <c:formatCode>_(* #,##0_);_(* \(#,##0\);_(* "-"_);_(@_)</c:formatCode>
                <c:ptCount val="23"/>
                <c:pt idx="0">
                  <c:v>5200</c:v>
                </c:pt>
                <c:pt idx="1">
                  <c:v>4268</c:v>
                </c:pt>
                <c:pt idx="2">
                  <c:v>11854</c:v>
                </c:pt>
                <c:pt idx="3">
                  <c:v>10280</c:v>
                </c:pt>
                <c:pt idx="5">
                  <c:v>1826</c:v>
                </c:pt>
                <c:pt idx="6">
                  <c:v>1189</c:v>
                </c:pt>
                <c:pt idx="7">
                  <c:v>5172</c:v>
                </c:pt>
                <c:pt idx="8">
                  <c:v>12660</c:v>
                </c:pt>
                <c:pt idx="11">
                  <c:v>4010</c:v>
                </c:pt>
                <c:pt idx="12">
                  <c:v>24516</c:v>
                </c:pt>
                <c:pt idx="13">
                  <c:v>11590</c:v>
                </c:pt>
                <c:pt idx="14">
                  <c:v>1131</c:v>
                </c:pt>
                <c:pt idx="15">
                  <c:v>10692</c:v>
                </c:pt>
                <c:pt idx="16">
                  <c:v>25797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0-4E7F-B4A1-0B0F8EAE43B0}"/>
            </c:ext>
          </c:extLst>
        </c:ser>
        <c:ser>
          <c:idx val="1"/>
          <c:order val="1"/>
          <c:tx>
            <c:v>계획</c:v>
          </c:tx>
          <c:cat>
            <c:strRef>
              <c:f>'11'!$D$6:$D$28</c:f>
              <c:strCache>
                <c:ptCount val="22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6">
                  <c:v>38P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BASE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'11'!$J$6:$J$28</c:f>
              <c:numCache>
                <c:formatCode>_(* #,##0_);_(* \(#,##0\);_(* "-"_);_(@_)</c:formatCode>
                <c:ptCount val="23"/>
                <c:pt idx="0">
                  <c:v>5200</c:v>
                </c:pt>
                <c:pt idx="1">
                  <c:v>4268</c:v>
                </c:pt>
                <c:pt idx="2">
                  <c:v>11854</c:v>
                </c:pt>
                <c:pt idx="3">
                  <c:v>10280</c:v>
                </c:pt>
                <c:pt idx="4">
                  <c:v>10206</c:v>
                </c:pt>
                <c:pt idx="5">
                  <c:v>1826</c:v>
                </c:pt>
                <c:pt idx="6">
                  <c:v>1189</c:v>
                </c:pt>
                <c:pt idx="7">
                  <c:v>5172</c:v>
                </c:pt>
                <c:pt idx="8">
                  <c:v>12660</c:v>
                </c:pt>
                <c:pt idx="9">
                  <c:v>608</c:v>
                </c:pt>
                <c:pt idx="10">
                  <c:v>12356</c:v>
                </c:pt>
                <c:pt idx="11">
                  <c:v>4010</c:v>
                </c:pt>
                <c:pt idx="12">
                  <c:v>24516</c:v>
                </c:pt>
                <c:pt idx="13">
                  <c:v>11590</c:v>
                </c:pt>
                <c:pt idx="14">
                  <c:v>1131</c:v>
                </c:pt>
                <c:pt idx="15">
                  <c:v>10692</c:v>
                </c:pt>
                <c:pt idx="16">
                  <c:v>25797</c:v>
                </c:pt>
                <c:pt idx="17">
                  <c:v>0</c:v>
                </c:pt>
                <c:pt idx="18">
                  <c:v>0</c:v>
                </c:pt>
                <c:pt idx="19">
                  <c:v>3244</c:v>
                </c:pt>
                <c:pt idx="20">
                  <c:v>9988</c:v>
                </c:pt>
                <c:pt idx="21">
                  <c:v>11600</c:v>
                </c:pt>
                <c:pt idx="22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0-4E7F-B4A1-0B0F8EAE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'11'!$AD$6:$AD$28</c:f>
              <c:strCache>
                <c:ptCount val="23"/>
                <c:pt idx="0">
                  <c:v>58%</c:v>
                </c:pt>
                <c:pt idx="1">
                  <c:v>88%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38%</c:v>
                </c:pt>
                <c:pt idx="6">
                  <c:v>29%</c:v>
                </c:pt>
                <c:pt idx="7">
                  <c:v>100%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83%</c:v>
                </c:pt>
                <c:pt idx="12">
                  <c:v>100%</c:v>
                </c:pt>
                <c:pt idx="13">
                  <c:v>100%</c:v>
                </c:pt>
                <c:pt idx="14">
                  <c:v>67%</c:v>
                </c:pt>
                <c:pt idx="15">
                  <c:v>100%</c:v>
                </c:pt>
                <c:pt idx="16">
                  <c:v>54%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'11'!$D$6:$D$28</c:f>
              <c:strCache>
                <c:ptCount val="22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6">
                  <c:v>38P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BASE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'11'!$AD$6:$AD$28</c:f>
              <c:numCache>
                <c:formatCode>0%</c:formatCode>
                <c:ptCount val="23"/>
                <c:pt idx="0">
                  <c:v>0.58333333333333337</c:v>
                </c:pt>
                <c:pt idx="1">
                  <c:v>0.875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0.375</c:v>
                </c:pt>
                <c:pt idx="6">
                  <c:v>0.29166666666666669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0.83333333333333337</c:v>
                </c:pt>
                <c:pt idx="12">
                  <c:v>1</c:v>
                </c:pt>
                <c:pt idx="13">
                  <c:v>1</c:v>
                </c:pt>
                <c:pt idx="14">
                  <c:v>0.66666666666666663</c:v>
                </c:pt>
                <c:pt idx="15">
                  <c:v>1</c:v>
                </c:pt>
                <c:pt idx="16">
                  <c:v>0.54166666666666663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6-44AA-B1FB-68781C3CD9D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46-44AA-B1FB-68781C3CD9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'11'!$D$6:$D$28</c:f>
              <c:strCache>
                <c:ptCount val="22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6">
                  <c:v>38P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BASE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'11'!$AE$6:$AE$28</c:f>
              <c:numCache>
                <c:formatCode>0%</c:formatCode>
                <c:ptCount val="23"/>
                <c:pt idx="0">
                  <c:v>0.48550724637681147</c:v>
                </c:pt>
                <c:pt idx="1">
                  <c:v>0.48550724637681147</c:v>
                </c:pt>
                <c:pt idx="2">
                  <c:v>0.48550724637681147</c:v>
                </c:pt>
                <c:pt idx="3">
                  <c:v>0.48550724637681147</c:v>
                </c:pt>
                <c:pt idx="4">
                  <c:v>0.48550724637681147</c:v>
                </c:pt>
                <c:pt idx="5">
                  <c:v>0.48550724637681147</c:v>
                </c:pt>
                <c:pt idx="6">
                  <c:v>0.48550724637681147</c:v>
                </c:pt>
                <c:pt idx="7">
                  <c:v>0.48550724637681147</c:v>
                </c:pt>
                <c:pt idx="8">
                  <c:v>0.48550724637681147</c:v>
                </c:pt>
                <c:pt idx="9">
                  <c:v>0.48550724637681147</c:v>
                </c:pt>
                <c:pt idx="10">
                  <c:v>0.48550724637681147</c:v>
                </c:pt>
                <c:pt idx="11">
                  <c:v>0.48550724637681147</c:v>
                </c:pt>
                <c:pt idx="12">
                  <c:v>0.48550724637681147</c:v>
                </c:pt>
                <c:pt idx="13">
                  <c:v>0.48550724637681147</c:v>
                </c:pt>
                <c:pt idx="14">
                  <c:v>0.48550724637681147</c:v>
                </c:pt>
                <c:pt idx="15">
                  <c:v>0.48550724637681147</c:v>
                </c:pt>
                <c:pt idx="16">
                  <c:v>0.48550724637681147</c:v>
                </c:pt>
                <c:pt idx="17">
                  <c:v>0.48550724637681147</c:v>
                </c:pt>
                <c:pt idx="18">
                  <c:v>0.48550724637681147</c:v>
                </c:pt>
                <c:pt idx="19">
                  <c:v>0.48550724637681147</c:v>
                </c:pt>
                <c:pt idx="20">
                  <c:v>0.48550724637681147</c:v>
                </c:pt>
                <c:pt idx="21">
                  <c:v>0.48550724637681147</c:v>
                </c:pt>
                <c:pt idx="22">
                  <c:v>0.48550724637681147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6-44AA-B1FB-68781C3CD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9B7-4419-8B34-6B9DBA585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7-4419-8B34-6B9DBA585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9B7-4419-8B34-6B9DBA585A3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B7-4419-8B34-6B9DBA585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'12'!$D$6:$D$29</c:f>
              <c:strCache>
                <c:ptCount val="23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38P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ADAPTER</c:v>
                </c:pt>
                <c:pt idx="11">
                  <c:v>BOTTOM</c:v>
                </c:pt>
                <c:pt idx="13">
                  <c:v>ACTUATOR</c:v>
                </c:pt>
                <c:pt idx="14">
                  <c:v>COVER</c:v>
                </c:pt>
                <c:pt idx="15">
                  <c:v>LEAD GUIDE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'12'!$L$6:$L$29</c:f>
              <c:numCache>
                <c:formatCode>_(* #,##0_);_(* \(#,##0\);_(* "-"_);_(@_)</c:formatCode>
                <c:ptCount val="24"/>
                <c:pt idx="0">
                  <c:v>11012</c:v>
                </c:pt>
                <c:pt idx="1">
                  <c:v>5400</c:v>
                </c:pt>
                <c:pt idx="2">
                  <c:v>11762</c:v>
                </c:pt>
                <c:pt idx="3">
                  <c:v>10788</c:v>
                </c:pt>
                <c:pt idx="5">
                  <c:v>5184</c:v>
                </c:pt>
                <c:pt idx="6">
                  <c:v>5065</c:v>
                </c:pt>
                <c:pt idx="7">
                  <c:v>12576</c:v>
                </c:pt>
                <c:pt idx="10">
                  <c:v>950</c:v>
                </c:pt>
                <c:pt idx="11">
                  <c:v>1531</c:v>
                </c:pt>
                <c:pt idx="12">
                  <c:v>23120</c:v>
                </c:pt>
                <c:pt idx="13">
                  <c:v>11484</c:v>
                </c:pt>
                <c:pt idx="14">
                  <c:v>668</c:v>
                </c:pt>
                <c:pt idx="15">
                  <c:v>7978</c:v>
                </c:pt>
                <c:pt idx="16">
                  <c:v>10892</c:v>
                </c:pt>
                <c:pt idx="17">
                  <c:v>46530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6-4665-95F9-62A1AD84F258}"/>
            </c:ext>
          </c:extLst>
        </c:ser>
        <c:ser>
          <c:idx val="1"/>
          <c:order val="1"/>
          <c:tx>
            <c:v>계획</c:v>
          </c:tx>
          <c:cat>
            <c:strRef>
              <c:f>'12'!$D$6:$D$29</c:f>
              <c:strCache>
                <c:ptCount val="23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38P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ADAPTER</c:v>
                </c:pt>
                <c:pt idx="11">
                  <c:v>BOTTOM</c:v>
                </c:pt>
                <c:pt idx="13">
                  <c:v>ACTUATOR</c:v>
                </c:pt>
                <c:pt idx="14">
                  <c:v>COVER</c:v>
                </c:pt>
                <c:pt idx="15">
                  <c:v>LEAD GUIDE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'12'!$J$6:$J$29</c:f>
              <c:numCache>
                <c:formatCode>_(* #,##0_);_(* \(#,##0\);_(* "-"_);_(@_)</c:formatCode>
                <c:ptCount val="24"/>
                <c:pt idx="0">
                  <c:v>11012</c:v>
                </c:pt>
                <c:pt idx="1">
                  <c:v>5400</c:v>
                </c:pt>
                <c:pt idx="2">
                  <c:v>11762</c:v>
                </c:pt>
                <c:pt idx="3">
                  <c:v>10788</c:v>
                </c:pt>
                <c:pt idx="4">
                  <c:v>10206</c:v>
                </c:pt>
                <c:pt idx="5">
                  <c:v>5184</c:v>
                </c:pt>
                <c:pt idx="6">
                  <c:v>5065</c:v>
                </c:pt>
                <c:pt idx="7">
                  <c:v>12576</c:v>
                </c:pt>
                <c:pt idx="8">
                  <c:v>608</c:v>
                </c:pt>
                <c:pt idx="9">
                  <c:v>12356</c:v>
                </c:pt>
                <c:pt idx="10">
                  <c:v>950</c:v>
                </c:pt>
                <c:pt idx="11">
                  <c:v>1531</c:v>
                </c:pt>
                <c:pt idx="12">
                  <c:v>23120</c:v>
                </c:pt>
                <c:pt idx="13">
                  <c:v>11484</c:v>
                </c:pt>
                <c:pt idx="14">
                  <c:v>668</c:v>
                </c:pt>
                <c:pt idx="15">
                  <c:v>7978</c:v>
                </c:pt>
                <c:pt idx="16">
                  <c:v>10892</c:v>
                </c:pt>
                <c:pt idx="17">
                  <c:v>46530</c:v>
                </c:pt>
                <c:pt idx="18">
                  <c:v>0</c:v>
                </c:pt>
                <c:pt idx="19">
                  <c:v>0</c:v>
                </c:pt>
                <c:pt idx="20">
                  <c:v>3244</c:v>
                </c:pt>
                <c:pt idx="21">
                  <c:v>9988</c:v>
                </c:pt>
                <c:pt idx="22">
                  <c:v>11600</c:v>
                </c:pt>
                <c:pt idx="23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6-4665-95F9-62A1AD84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'12'!$AD$6:$AD$29</c:f>
              <c:strCache>
                <c:ptCount val="24"/>
                <c:pt idx="0">
                  <c:v>100%</c:v>
                </c:pt>
                <c:pt idx="1">
                  <c:v>50%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100%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21%</c:v>
                </c:pt>
                <c:pt idx="11">
                  <c:v>42%</c:v>
                </c:pt>
                <c:pt idx="12">
                  <c:v>100%</c:v>
                </c:pt>
                <c:pt idx="13">
                  <c:v>100%</c:v>
                </c:pt>
                <c:pt idx="14">
                  <c:v>17%</c:v>
                </c:pt>
                <c:pt idx="15">
                  <c:v>75%</c:v>
                </c:pt>
                <c:pt idx="16">
                  <c:v>100%</c:v>
                </c:pt>
                <c:pt idx="17">
                  <c:v>100%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'12'!$D$6:$D$29</c:f>
              <c:strCache>
                <c:ptCount val="23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38P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ADAPTER</c:v>
                </c:pt>
                <c:pt idx="11">
                  <c:v>BOTTOM</c:v>
                </c:pt>
                <c:pt idx="13">
                  <c:v>ACTUATOR</c:v>
                </c:pt>
                <c:pt idx="14">
                  <c:v>COVER</c:v>
                </c:pt>
                <c:pt idx="15">
                  <c:v>LEAD GUIDE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'12'!$AD$6:$AD$29</c:f>
              <c:numCache>
                <c:formatCode>0%</c:formatCode>
                <c:ptCount val="24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0.20833333333333334</c:v>
                </c:pt>
                <c:pt idx="11">
                  <c:v>0.41666666666666669</c:v>
                </c:pt>
                <c:pt idx="12">
                  <c:v>1</c:v>
                </c:pt>
                <c:pt idx="13">
                  <c:v>1</c:v>
                </c:pt>
                <c:pt idx="14">
                  <c:v>0.16666666666666666</c:v>
                </c:pt>
                <c:pt idx="15">
                  <c:v>0.75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8-45D1-9EC2-DE81B7FDD6C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38-45D1-9EC2-DE81B7FDD6C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'12'!$D$6:$D$29</c:f>
              <c:strCache>
                <c:ptCount val="23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38P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ADAPTER</c:v>
                </c:pt>
                <c:pt idx="11">
                  <c:v>BOTTOM</c:v>
                </c:pt>
                <c:pt idx="13">
                  <c:v>ACTUATOR</c:v>
                </c:pt>
                <c:pt idx="14">
                  <c:v>COVER</c:v>
                </c:pt>
                <c:pt idx="15">
                  <c:v>LEAD GUIDE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'12'!$AE$6:$AE$29</c:f>
              <c:numCache>
                <c:formatCode>0%</c:formatCode>
                <c:ptCount val="24"/>
                <c:pt idx="0">
                  <c:v>0.50173611111111105</c:v>
                </c:pt>
                <c:pt idx="1">
                  <c:v>0.50173611111111105</c:v>
                </c:pt>
                <c:pt idx="2">
                  <c:v>0.50173611111111105</c:v>
                </c:pt>
                <c:pt idx="3">
                  <c:v>0.50173611111111105</c:v>
                </c:pt>
                <c:pt idx="4">
                  <c:v>0.50173611111111105</c:v>
                </c:pt>
                <c:pt idx="5">
                  <c:v>0.50173611111111105</c:v>
                </c:pt>
                <c:pt idx="6">
                  <c:v>0.50173611111111105</c:v>
                </c:pt>
                <c:pt idx="7">
                  <c:v>0.50173611111111105</c:v>
                </c:pt>
                <c:pt idx="8">
                  <c:v>0.50173611111111105</c:v>
                </c:pt>
                <c:pt idx="9">
                  <c:v>0.50173611111111105</c:v>
                </c:pt>
                <c:pt idx="10">
                  <c:v>0.50173611111111105</c:v>
                </c:pt>
                <c:pt idx="11">
                  <c:v>0.50173611111111105</c:v>
                </c:pt>
                <c:pt idx="12">
                  <c:v>0.50173611111111105</c:v>
                </c:pt>
                <c:pt idx="13">
                  <c:v>0.50173611111111105</c:v>
                </c:pt>
                <c:pt idx="14">
                  <c:v>0.50173611111111105</c:v>
                </c:pt>
                <c:pt idx="15">
                  <c:v>0.50173611111111105</c:v>
                </c:pt>
                <c:pt idx="16">
                  <c:v>0.50173611111111105</c:v>
                </c:pt>
                <c:pt idx="17">
                  <c:v>0.50173611111111105</c:v>
                </c:pt>
                <c:pt idx="18">
                  <c:v>0.50173611111111105</c:v>
                </c:pt>
                <c:pt idx="19">
                  <c:v>0.50173611111111105</c:v>
                </c:pt>
                <c:pt idx="20">
                  <c:v>0.50173611111111105</c:v>
                </c:pt>
                <c:pt idx="21">
                  <c:v>0.50173611111111105</c:v>
                </c:pt>
                <c:pt idx="22">
                  <c:v>0.50173611111111105</c:v>
                </c:pt>
                <c:pt idx="23">
                  <c:v>0.50173611111111105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8-45D1-9EC2-DE81B7FDD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'12'!$D$6:$D$29</c:f>
              <c:strCache>
                <c:ptCount val="23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38P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ADAPTER</c:v>
                </c:pt>
                <c:pt idx="11">
                  <c:v>BOTTOM</c:v>
                </c:pt>
                <c:pt idx="13">
                  <c:v>ACTUATOR</c:v>
                </c:pt>
                <c:pt idx="14">
                  <c:v>COVER</c:v>
                </c:pt>
                <c:pt idx="15">
                  <c:v>LEAD GUIDE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'12'!$L$6:$L$29</c:f>
              <c:numCache>
                <c:formatCode>_(* #,##0_);_(* \(#,##0\);_(* "-"_);_(@_)</c:formatCode>
                <c:ptCount val="24"/>
                <c:pt idx="0">
                  <c:v>11012</c:v>
                </c:pt>
                <c:pt idx="1">
                  <c:v>5400</c:v>
                </c:pt>
                <c:pt idx="2">
                  <c:v>11762</c:v>
                </c:pt>
                <c:pt idx="3">
                  <c:v>10788</c:v>
                </c:pt>
                <c:pt idx="5">
                  <c:v>5184</c:v>
                </c:pt>
                <c:pt idx="6">
                  <c:v>5065</c:v>
                </c:pt>
                <c:pt idx="7">
                  <c:v>12576</c:v>
                </c:pt>
                <c:pt idx="10">
                  <c:v>950</c:v>
                </c:pt>
                <c:pt idx="11">
                  <c:v>1531</c:v>
                </c:pt>
                <c:pt idx="12">
                  <c:v>23120</c:v>
                </c:pt>
                <c:pt idx="13">
                  <c:v>11484</c:v>
                </c:pt>
                <c:pt idx="14">
                  <c:v>668</c:v>
                </c:pt>
                <c:pt idx="15">
                  <c:v>7978</c:v>
                </c:pt>
                <c:pt idx="16">
                  <c:v>10892</c:v>
                </c:pt>
                <c:pt idx="17">
                  <c:v>46530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C-4E53-A4CD-E9510C694144}"/>
            </c:ext>
          </c:extLst>
        </c:ser>
        <c:ser>
          <c:idx val="1"/>
          <c:order val="1"/>
          <c:tx>
            <c:v>계획</c:v>
          </c:tx>
          <c:cat>
            <c:strRef>
              <c:f>'12'!$D$6:$D$29</c:f>
              <c:strCache>
                <c:ptCount val="23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38P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ADAPTER</c:v>
                </c:pt>
                <c:pt idx="11">
                  <c:v>BOTTOM</c:v>
                </c:pt>
                <c:pt idx="13">
                  <c:v>ACTUATOR</c:v>
                </c:pt>
                <c:pt idx="14">
                  <c:v>COVER</c:v>
                </c:pt>
                <c:pt idx="15">
                  <c:v>LEAD GUIDE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'12'!$J$6:$J$29</c:f>
              <c:numCache>
                <c:formatCode>_(* #,##0_);_(* \(#,##0\);_(* "-"_);_(@_)</c:formatCode>
                <c:ptCount val="24"/>
                <c:pt idx="0">
                  <c:v>11012</c:v>
                </c:pt>
                <c:pt idx="1">
                  <c:v>5400</c:v>
                </c:pt>
                <c:pt idx="2">
                  <c:v>11762</c:v>
                </c:pt>
                <c:pt idx="3">
                  <c:v>10788</c:v>
                </c:pt>
                <c:pt idx="4">
                  <c:v>10206</c:v>
                </c:pt>
                <c:pt idx="5">
                  <c:v>5184</c:v>
                </c:pt>
                <c:pt idx="6">
                  <c:v>5065</c:v>
                </c:pt>
                <c:pt idx="7">
                  <c:v>12576</c:v>
                </c:pt>
                <c:pt idx="8">
                  <c:v>608</c:v>
                </c:pt>
                <c:pt idx="9">
                  <c:v>12356</c:v>
                </c:pt>
                <c:pt idx="10">
                  <c:v>950</c:v>
                </c:pt>
                <c:pt idx="11">
                  <c:v>1531</c:v>
                </c:pt>
                <c:pt idx="12">
                  <c:v>23120</c:v>
                </c:pt>
                <c:pt idx="13">
                  <c:v>11484</c:v>
                </c:pt>
                <c:pt idx="14">
                  <c:v>668</c:v>
                </c:pt>
                <c:pt idx="15">
                  <c:v>7978</c:v>
                </c:pt>
                <c:pt idx="16">
                  <c:v>10892</c:v>
                </c:pt>
                <c:pt idx="17">
                  <c:v>46530</c:v>
                </c:pt>
                <c:pt idx="18">
                  <c:v>0</c:v>
                </c:pt>
                <c:pt idx="19">
                  <c:v>0</c:v>
                </c:pt>
                <c:pt idx="20">
                  <c:v>3244</c:v>
                </c:pt>
                <c:pt idx="21">
                  <c:v>9988</c:v>
                </c:pt>
                <c:pt idx="22">
                  <c:v>11600</c:v>
                </c:pt>
                <c:pt idx="23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C-4E53-A4CD-E9510C69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'12'!$AD$6:$AD$29</c:f>
              <c:strCache>
                <c:ptCount val="24"/>
                <c:pt idx="0">
                  <c:v>100%</c:v>
                </c:pt>
                <c:pt idx="1">
                  <c:v>50%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100%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21%</c:v>
                </c:pt>
                <c:pt idx="11">
                  <c:v>42%</c:v>
                </c:pt>
                <c:pt idx="12">
                  <c:v>100%</c:v>
                </c:pt>
                <c:pt idx="13">
                  <c:v>100%</c:v>
                </c:pt>
                <c:pt idx="14">
                  <c:v>17%</c:v>
                </c:pt>
                <c:pt idx="15">
                  <c:v>75%</c:v>
                </c:pt>
                <c:pt idx="16">
                  <c:v>100%</c:v>
                </c:pt>
                <c:pt idx="17">
                  <c:v>100%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'12'!$D$6:$D$29</c:f>
              <c:strCache>
                <c:ptCount val="23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38P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ADAPTER</c:v>
                </c:pt>
                <c:pt idx="11">
                  <c:v>BOTTOM</c:v>
                </c:pt>
                <c:pt idx="13">
                  <c:v>ACTUATOR</c:v>
                </c:pt>
                <c:pt idx="14">
                  <c:v>COVER</c:v>
                </c:pt>
                <c:pt idx="15">
                  <c:v>LEAD GUIDE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'12'!$AD$6:$AD$29</c:f>
              <c:numCache>
                <c:formatCode>0%</c:formatCode>
                <c:ptCount val="24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0.20833333333333334</c:v>
                </c:pt>
                <c:pt idx="11">
                  <c:v>0.41666666666666669</c:v>
                </c:pt>
                <c:pt idx="12">
                  <c:v>1</c:v>
                </c:pt>
                <c:pt idx="13">
                  <c:v>1</c:v>
                </c:pt>
                <c:pt idx="14">
                  <c:v>0.16666666666666666</c:v>
                </c:pt>
                <c:pt idx="15">
                  <c:v>0.75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D-4621-874A-3E31ACE2D76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AD-4621-874A-3E31ACE2D7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'12'!$D$6:$D$29</c:f>
              <c:strCache>
                <c:ptCount val="23"/>
                <c:pt idx="0">
                  <c:v>ADAPTER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38P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ADAPTER</c:v>
                </c:pt>
                <c:pt idx="11">
                  <c:v>BOTTOM</c:v>
                </c:pt>
                <c:pt idx="13">
                  <c:v>ACTUATOR</c:v>
                </c:pt>
                <c:pt idx="14">
                  <c:v>COVER</c:v>
                </c:pt>
                <c:pt idx="15">
                  <c:v>LEAD GUIDE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'12'!$AE$6:$AE$29</c:f>
              <c:numCache>
                <c:formatCode>0%</c:formatCode>
                <c:ptCount val="24"/>
                <c:pt idx="0">
                  <c:v>0.50173611111111105</c:v>
                </c:pt>
                <c:pt idx="1">
                  <c:v>0.50173611111111105</c:v>
                </c:pt>
                <c:pt idx="2">
                  <c:v>0.50173611111111105</c:v>
                </c:pt>
                <c:pt idx="3">
                  <c:v>0.50173611111111105</c:v>
                </c:pt>
                <c:pt idx="4">
                  <c:v>0.50173611111111105</c:v>
                </c:pt>
                <c:pt idx="5">
                  <c:v>0.50173611111111105</c:v>
                </c:pt>
                <c:pt idx="6">
                  <c:v>0.50173611111111105</c:v>
                </c:pt>
                <c:pt idx="7">
                  <c:v>0.50173611111111105</c:v>
                </c:pt>
                <c:pt idx="8">
                  <c:v>0.50173611111111105</c:v>
                </c:pt>
                <c:pt idx="9">
                  <c:v>0.50173611111111105</c:v>
                </c:pt>
                <c:pt idx="10">
                  <c:v>0.50173611111111105</c:v>
                </c:pt>
                <c:pt idx="11">
                  <c:v>0.50173611111111105</c:v>
                </c:pt>
                <c:pt idx="12">
                  <c:v>0.50173611111111105</c:v>
                </c:pt>
                <c:pt idx="13">
                  <c:v>0.50173611111111105</c:v>
                </c:pt>
                <c:pt idx="14">
                  <c:v>0.50173611111111105</c:v>
                </c:pt>
                <c:pt idx="15">
                  <c:v>0.50173611111111105</c:v>
                </c:pt>
                <c:pt idx="16">
                  <c:v>0.50173611111111105</c:v>
                </c:pt>
                <c:pt idx="17">
                  <c:v>0.50173611111111105</c:v>
                </c:pt>
                <c:pt idx="18">
                  <c:v>0.50173611111111105</c:v>
                </c:pt>
                <c:pt idx="19">
                  <c:v>0.50173611111111105</c:v>
                </c:pt>
                <c:pt idx="20">
                  <c:v>0.50173611111111105</c:v>
                </c:pt>
                <c:pt idx="21">
                  <c:v>0.50173611111111105</c:v>
                </c:pt>
                <c:pt idx="22">
                  <c:v>0.50173611111111105</c:v>
                </c:pt>
                <c:pt idx="23">
                  <c:v>0.50173611111111105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D-4621-874A-3E31ACE2D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6D7-4229-A97B-CCA798120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7-4229-A97B-CCA798120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6D7-4229-A97B-CCA798120E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D7-4229-A97B-CCA798120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216-4878-B3CE-B39C462243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6-4878-B3CE-B39C46224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216-4878-B3CE-B39C462243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6-4878-B3CE-B39C46224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'13'!$D$6:$D$28</c:f>
              <c:strCache>
                <c:ptCount val="22"/>
                <c:pt idx="0">
                  <c:v>ADAPTER</c:v>
                </c:pt>
                <c:pt idx="1">
                  <c:v>ADAPTER</c:v>
                </c:pt>
                <c:pt idx="2">
                  <c:v>SLIDER</c:v>
                </c:pt>
                <c:pt idx="3">
                  <c:v>BASE</c:v>
                </c:pt>
                <c:pt idx="4">
                  <c:v>STOPPPER</c:v>
                </c:pt>
                <c:pt idx="6">
                  <c:v>38P</c:v>
                </c:pt>
                <c:pt idx="7">
                  <c:v>COVER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BASE</c:v>
                </c:pt>
                <c:pt idx="13">
                  <c:v>ACTUATOR</c:v>
                </c:pt>
                <c:pt idx="14">
                  <c:v>LEAD GUIDE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'13'!$L$6:$L$28</c:f>
              <c:numCache>
                <c:formatCode>_(* #,##0_);_(* \(#,##0\);_(* "-"_);_(@_)</c:formatCode>
                <c:ptCount val="23"/>
                <c:pt idx="0">
                  <c:v>1942</c:v>
                </c:pt>
                <c:pt idx="1">
                  <c:v>3330</c:v>
                </c:pt>
                <c:pt idx="2">
                  <c:v>12512</c:v>
                </c:pt>
                <c:pt idx="3">
                  <c:v>11766</c:v>
                </c:pt>
                <c:pt idx="4">
                  <c:v>10818</c:v>
                </c:pt>
                <c:pt idx="6">
                  <c:v>3945</c:v>
                </c:pt>
                <c:pt idx="7">
                  <c:v>8800</c:v>
                </c:pt>
                <c:pt idx="8">
                  <c:v>12284</c:v>
                </c:pt>
                <c:pt idx="11">
                  <c:v>3597</c:v>
                </c:pt>
                <c:pt idx="12">
                  <c:v>24488</c:v>
                </c:pt>
                <c:pt idx="13">
                  <c:v>11300</c:v>
                </c:pt>
                <c:pt idx="14">
                  <c:v>11466</c:v>
                </c:pt>
                <c:pt idx="15">
                  <c:v>10896</c:v>
                </c:pt>
                <c:pt idx="16">
                  <c:v>39436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B-4714-974D-6DE2CE14729C}"/>
            </c:ext>
          </c:extLst>
        </c:ser>
        <c:ser>
          <c:idx val="1"/>
          <c:order val="1"/>
          <c:tx>
            <c:v>계획</c:v>
          </c:tx>
          <c:cat>
            <c:strRef>
              <c:f>'13'!$D$6:$D$28</c:f>
              <c:strCache>
                <c:ptCount val="22"/>
                <c:pt idx="0">
                  <c:v>ADAPTER</c:v>
                </c:pt>
                <c:pt idx="1">
                  <c:v>ADAPTER</c:v>
                </c:pt>
                <c:pt idx="2">
                  <c:v>SLIDER</c:v>
                </c:pt>
                <c:pt idx="3">
                  <c:v>BASE</c:v>
                </c:pt>
                <c:pt idx="4">
                  <c:v>STOPPPER</c:v>
                </c:pt>
                <c:pt idx="6">
                  <c:v>38P</c:v>
                </c:pt>
                <c:pt idx="7">
                  <c:v>COVER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BASE</c:v>
                </c:pt>
                <c:pt idx="13">
                  <c:v>ACTUATOR</c:v>
                </c:pt>
                <c:pt idx="14">
                  <c:v>LEAD GUIDE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'13'!$J$6:$J$28</c:f>
              <c:numCache>
                <c:formatCode>_(* #,##0_);_(* \(#,##0\);_(* "-"_);_(@_)</c:formatCode>
                <c:ptCount val="23"/>
                <c:pt idx="0">
                  <c:v>1942</c:v>
                </c:pt>
                <c:pt idx="1">
                  <c:v>3330</c:v>
                </c:pt>
                <c:pt idx="2">
                  <c:v>12512</c:v>
                </c:pt>
                <c:pt idx="3">
                  <c:v>11766</c:v>
                </c:pt>
                <c:pt idx="4">
                  <c:v>10818</c:v>
                </c:pt>
                <c:pt idx="5">
                  <c:v>10206</c:v>
                </c:pt>
                <c:pt idx="6">
                  <c:v>3945</c:v>
                </c:pt>
                <c:pt idx="7">
                  <c:v>8800</c:v>
                </c:pt>
                <c:pt idx="8">
                  <c:v>12284</c:v>
                </c:pt>
                <c:pt idx="9">
                  <c:v>608</c:v>
                </c:pt>
                <c:pt idx="10">
                  <c:v>12356</c:v>
                </c:pt>
                <c:pt idx="11">
                  <c:v>3597</c:v>
                </c:pt>
                <c:pt idx="12">
                  <c:v>24488</c:v>
                </c:pt>
                <c:pt idx="13">
                  <c:v>11300</c:v>
                </c:pt>
                <c:pt idx="14">
                  <c:v>11466</c:v>
                </c:pt>
                <c:pt idx="15">
                  <c:v>10896</c:v>
                </c:pt>
                <c:pt idx="16">
                  <c:v>39436</c:v>
                </c:pt>
                <c:pt idx="17">
                  <c:v>0</c:v>
                </c:pt>
                <c:pt idx="18">
                  <c:v>0</c:v>
                </c:pt>
                <c:pt idx="19">
                  <c:v>3244</c:v>
                </c:pt>
                <c:pt idx="20">
                  <c:v>9988</c:v>
                </c:pt>
                <c:pt idx="21">
                  <c:v>11600</c:v>
                </c:pt>
                <c:pt idx="22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B-4714-974D-6DE2CE147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'13'!$AD$6:$AD$28</c:f>
              <c:strCache>
                <c:ptCount val="23"/>
                <c:pt idx="0">
                  <c:v>21%</c:v>
                </c:pt>
                <c:pt idx="1">
                  <c:v>67%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0%</c:v>
                </c:pt>
                <c:pt idx="6">
                  <c:v>83%</c:v>
                </c:pt>
                <c:pt idx="7">
                  <c:v>54%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83%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  <c:pt idx="16">
                  <c:v>75%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'13'!$D$6:$D$28</c:f>
              <c:strCache>
                <c:ptCount val="22"/>
                <c:pt idx="0">
                  <c:v>ADAPTER</c:v>
                </c:pt>
                <c:pt idx="1">
                  <c:v>ADAPTER</c:v>
                </c:pt>
                <c:pt idx="2">
                  <c:v>SLIDER</c:v>
                </c:pt>
                <c:pt idx="3">
                  <c:v>BASE</c:v>
                </c:pt>
                <c:pt idx="4">
                  <c:v>STOPPPER</c:v>
                </c:pt>
                <c:pt idx="6">
                  <c:v>38P</c:v>
                </c:pt>
                <c:pt idx="7">
                  <c:v>COVER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BASE</c:v>
                </c:pt>
                <c:pt idx="13">
                  <c:v>ACTUATOR</c:v>
                </c:pt>
                <c:pt idx="14">
                  <c:v>LEAD GUIDE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'13'!$AD$6:$AD$28</c:f>
              <c:numCache>
                <c:formatCode>0%</c:formatCode>
                <c:ptCount val="23"/>
                <c:pt idx="0">
                  <c:v>0.20833333333333334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0.83333333333333337</c:v>
                </c:pt>
                <c:pt idx="7">
                  <c:v>0.54166666666666663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0.83333333333333337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5-48AD-BE51-84310C1661E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05-48AD-BE51-84310C1661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'13'!$D$6:$D$28</c:f>
              <c:strCache>
                <c:ptCount val="22"/>
                <c:pt idx="0">
                  <c:v>ADAPTER</c:v>
                </c:pt>
                <c:pt idx="1">
                  <c:v>ADAPTER</c:v>
                </c:pt>
                <c:pt idx="2">
                  <c:v>SLIDER</c:v>
                </c:pt>
                <c:pt idx="3">
                  <c:v>BASE</c:v>
                </c:pt>
                <c:pt idx="4">
                  <c:v>STOPPPER</c:v>
                </c:pt>
                <c:pt idx="6">
                  <c:v>38P</c:v>
                </c:pt>
                <c:pt idx="7">
                  <c:v>COVER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BASE</c:v>
                </c:pt>
                <c:pt idx="13">
                  <c:v>ACTUATOR</c:v>
                </c:pt>
                <c:pt idx="14">
                  <c:v>LEAD GUIDE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'13'!$AE$6:$AE$28</c:f>
              <c:numCache>
                <c:formatCode>0%</c:formatCode>
                <c:ptCount val="23"/>
                <c:pt idx="0">
                  <c:v>0.51449275362318836</c:v>
                </c:pt>
                <c:pt idx="1">
                  <c:v>0.51449275362318836</c:v>
                </c:pt>
                <c:pt idx="2">
                  <c:v>0.51449275362318836</c:v>
                </c:pt>
                <c:pt idx="3">
                  <c:v>0.51449275362318836</c:v>
                </c:pt>
                <c:pt idx="4">
                  <c:v>0.51449275362318836</c:v>
                </c:pt>
                <c:pt idx="5">
                  <c:v>0.51449275362318836</c:v>
                </c:pt>
                <c:pt idx="6">
                  <c:v>0.51449275362318836</c:v>
                </c:pt>
                <c:pt idx="7">
                  <c:v>0.51449275362318836</c:v>
                </c:pt>
                <c:pt idx="8">
                  <c:v>0.51449275362318836</c:v>
                </c:pt>
                <c:pt idx="9">
                  <c:v>0.51449275362318836</c:v>
                </c:pt>
                <c:pt idx="10">
                  <c:v>0.51449275362318836</c:v>
                </c:pt>
                <c:pt idx="11">
                  <c:v>0.51449275362318836</c:v>
                </c:pt>
                <c:pt idx="12">
                  <c:v>0.51449275362318836</c:v>
                </c:pt>
                <c:pt idx="13">
                  <c:v>0.51449275362318836</c:v>
                </c:pt>
                <c:pt idx="14">
                  <c:v>0.51449275362318836</c:v>
                </c:pt>
                <c:pt idx="15">
                  <c:v>0.51449275362318836</c:v>
                </c:pt>
                <c:pt idx="16">
                  <c:v>0.51449275362318836</c:v>
                </c:pt>
                <c:pt idx="17">
                  <c:v>0.51449275362318836</c:v>
                </c:pt>
                <c:pt idx="18">
                  <c:v>0.51449275362318836</c:v>
                </c:pt>
                <c:pt idx="19">
                  <c:v>0.51449275362318836</c:v>
                </c:pt>
                <c:pt idx="20">
                  <c:v>0.51449275362318836</c:v>
                </c:pt>
                <c:pt idx="21">
                  <c:v>0.51449275362318836</c:v>
                </c:pt>
                <c:pt idx="22">
                  <c:v>0.51449275362318836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5-48AD-BE51-84310C166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'13'!$D$6:$D$28</c:f>
              <c:strCache>
                <c:ptCount val="22"/>
                <c:pt idx="0">
                  <c:v>ADAPTER</c:v>
                </c:pt>
                <c:pt idx="1">
                  <c:v>ADAPTER</c:v>
                </c:pt>
                <c:pt idx="2">
                  <c:v>SLIDER</c:v>
                </c:pt>
                <c:pt idx="3">
                  <c:v>BASE</c:v>
                </c:pt>
                <c:pt idx="4">
                  <c:v>STOPPPER</c:v>
                </c:pt>
                <c:pt idx="6">
                  <c:v>38P</c:v>
                </c:pt>
                <c:pt idx="7">
                  <c:v>COVER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BASE</c:v>
                </c:pt>
                <c:pt idx="13">
                  <c:v>ACTUATOR</c:v>
                </c:pt>
                <c:pt idx="14">
                  <c:v>LEAD GUIDE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'13'!$L$6:$L$28</c:f>
              <c:numCache>
                <c:formatCode>_(* #,##0_);_(* \(#,##0\);_(* "-"_);_(@_)</c:formatCode>
                <c:ptCount val="23"/>
                <c:pt idx="0">
                  <c:v>1942</c:v>
                </c:pt>
                <c:pt idx="1">
                  <c:v>3330</c:v>
                </c:pt>
                <c:pt idx="2">
                  <c:v>12512</c:v>
                </c:pt>
                <c:pt idx="3">
                  <c:v>11766</c:v>
                </c:pt>
                <c:pt idx="4">
                  <c:v>10818</c:v>
                </c:pt>
                <c:pt idx="6">
                  <c:v>3945</c:v>
                </c:pt>
                <c:pt idx="7">
                  <c:v>8800</c:v>
                </c:pt>
                <c:pt idx="8">
                  <c:v>12284</c:v>
                </c:pt>
                <c:pt idx="11">
                  <c:v>3597</c:v>
                </c:pt>
                <c:pt idx="12">
                  <c:v>24488</c:v>
                </c:pt>
                <c:pt idx="13">
                  <c:v>11300</c:v>
                </c:pt>
                <c:pt idx="14">
                  <c:v>11466</c:v>
                </c:pt>
                <c:pt idx="15">
                  <c:v>10896</c:v>
                </c:pt>
                <c:pt idx="16">
                  <c:v>39436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A-4589-B04C-960A0E115997}"/>
            </c:ext>
          </c:extLst>
        </c:ser>
        <c:ser>
          <c:idx val="1"/>
          <c:order val="1"/>
          <c:tx>
            <c:v>계획</c:v>
          </c:tx>
          <c:cat>
            <c:strRef>
              <c:f>'13'!$D$6:$D$28</c:f>
              <c:strCache>
                <c:ptCount val="22"/>
                <c:pt idx="0">
                  <c:v>ADAPTER</c:v>
                </c:pt>
                <c:pt idx="1">
                  <c:v>ADAPTER</c:v>
                </c:pt>
                <c:pt idx="2">
                  <c:v>SLIDER</c:v>
                </c:pt>
                <c:pt idx="3">
                  <c:v>BASE</c:v>
                </c:pt>
                <c:pt idx="4">
                  <c:v>STOPPPER</c:v>
                </c:pt>
                <c:pt idx="6">
                  <c:v>38P</c:v>
                </c:pt>
                <c:pt idx="7">
                  <c:v>COVER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BASE</c:v>
                </c:pt>
                <c:pt idx="13">
                  <c:v>ACTUATOR</c:v>
                </c:pt>
                <c:pt idx="14">
                  <c:v>LEAD GUIDE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'13'!$J$6:$J$28</c:f>
              <c:numCache>
                <c:formatCode>_(* #,##0_);_(* \(#,##0\);_(* "-"_);_(@_)</c:formatCode>
                <c:ptCount val="23"/>
                <c:pt idx="0">
                  <c:v>1942</c:v>
                </c:pt>
                <c:pt idx="1">
                  <c:v>3330</c:v>
                </c:pt>
                <c:pt idx="2">
                  <c:v>12512</c:v>
                </c:pt>
                <c:pt idx="3">
                  <c:v>11766</c:v>
                </c:pt>
                <c:pt idx="4">
                  <c:v>10818</c:v>
                </c:pt>
                <c:pt idx="5">
                  <c:v>10206</c:v>
                </c:pt>
                <c:pt idx="6">
                  <c:v>3945</c:v>
                </c:pt>
                <c:pt idx="7">
                  <c:v>8800</c:v>
                </c:pt>
                <c:pt idx="8">
                  <c:v>12284</c:v>
                </c:pt>
                <c:pt idx="9">
                  <c:v>608</c:v>
                </c:pt>
                <c:pt idx="10">
                  <c:v>12356</c:v>
                </c:pt>
                <c:pt idx="11">
                  <c:v>3597</c:v>
                </c:pt>
                <c:pt idx="12">
                  <c:v>24488</c:v>
                </c:pt>
                <c:pt idx="13">
                  <c:v>11300</c:v>
                </c:pt>
                <c:pt idx="14">
                  <c:v>11466</c:v>
                </c:pt>
                <c:pt idx="15">
                  <c:v>10896</c:v>
                </c:pt>
                <c:pt idx="16">
                  <c:v>39436</c:v>
                </c:pt>
                <c:pt idx="17">
                  <c:v>0</c:v>
                </c:pt>
                <c:pt idx="18">
                  <c:v>0</c:v>
                </c:pt>
                <c:pt idx="19">
                  <c:v>3244</c:v>
                </c:pt>
                <c:pt idx="20">
                  <c:v>9988</c:v>
                </c:pt>
                <c:pt idx="21">
                  <c:v>11600</c:v>
                </c:pt>
                <c:pt idx="22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A-4589-B04C-960A0E115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'13'!$AD$6:$AD$28</c:f>
              <c:strCache>
                <c:ptCount val="23"/>
                <c:pt idx="0">
                  <c:v>21%</c:v>
                </c:pt>
                <c:pt idx="1">
                  <c:v>67%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0%</c:v>
                </c:pt>
                <c:pt idx="6">
                  <c:v>83%</c:v>
                </c:pt>
                <c:pt idx="7">
                  <c:v>54%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83%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  <c:pt idx="16">
                  <c:v>75%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'13'!$D$6:$D$28</c:f>
              <c:strCache>
                <c:ptCount val="22"/>
                <c:pt idx="0">
                  <c:v>ADAPTER</c:v>
                </c:pt>
                <c:pt idx="1">
                  <c:v>ADAPTER</c:v>
                </c:pt>
                <c:pt idx="2">
                  <c:v>SLIDER</c:v>
                </c:pt>
                <c:pt idx="3">
                  <c:v>BASE</c:v>
                </c:pt>
                <c:pt idx="4">
                  <c:v>STOPPPER</c:v>
                </c:pt>
                <c:pt idx="6">
                  <c:v>38P</c:v>
                </c:pt>
                <c:pt idx="7">
                  <c:v>COVER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BASE</c:v>
                </c:pt>
                <c:pt idx="13">
                  <c:v>ACTUATOR</c:v>
                </c:pt>
                <c:pt idx="14">
                  <c:v>LEAD GUIDE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'13'!$AD$6:$AD$28</c:f>
              <c:numCache>
                <c:formatCode>0%</c:formatCode>
                <c:ptCount val="23"/>
                <c:pt idx="0">
                  <c:v>0.20833333333333334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0.83333333333333337</c:v>
                </c:pt>
                <c:pt idx="7">
                  <c:v>0.54166666666666663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0.83333333333333337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6-4616-91AA-7C8AAF6E896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F6-4616-91AA-7C8AAF6E89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'13'!$D$6:$D$28</c:f>
              <c:strCache>
                <c:ptCount val="22"/>
                <c:pt idx="0">
                  <c:v>ADAPTER</c:v>
                </c:pt>
                <c:pt idx="1">
                  <c:v>ADAPTER</c:v>
                </c:pt>
                <c:pt idx="2">
                  <c:v>SLIDER</c:v>
                </c:pt>
                <c:pt idx="3">
                  <c:v>BASE</c:v>
                </c:pt>
                <c:pt idx="4">
                  <c:v>STOPPPER</c:v>
                </c:pt>
                <c:pt idx="6">
                  <c:v>38P</c:v>
                </c:pt>
                <c:pt idx="7">
                  <c:v>COVER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BASE</c:v>
                </c:pt>
                <c:pt idx="13">
                  <c:v>ACTUATOR</c:v>
                </c:pt>
                <c:pt idx="14">
                  <c:v>LEAD GUIDE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'13'!$AE$6:$AE$28</c:f>
              <c:numCache>
                <c:formatCode>0%</c:formatCode>
                <c:ptCount val="23"/>
                <c:pt idx="0">
                  <c:v>0.51449275362318836</c:v>
                </c:pt>
                <c:pt idx="1">
                  <c:v>0.51449275362318836</c:v>
                </c:pt>
                <c:pt idx="2">
                  <c:v>0.51449275362318836</c:v>
                </c:pt>
                <c:pt idx="3">
                  <c:v>0.51449275362318836</c:v>
                </c:pt>
                <c:pt idx="4">
                  <c:v>0.51449275362318836</c:v>
                </c:pt>
                <c:pt idx="5">
                  <c:v>0.51449275362318836</c:v>
                </c:pt>
                <c:pt idx="6">
                  <c:v>0.51449275362318836</c:v>
                </c:pt>
                <c:pt idx="7">
                  <c:v>0.51449275362318836</c:v>
                </c:pt>
                <c:pt idx="8">
                  <c:v>0.51449275362318836</c:v>
                </c:pt>
                <c:pt idx="9">
                  <c:v>0.51449275362318836</c:v>
                </c:pt>
                <c:pt idx="10">
                  <c:v>0.51449275362318836</c:v>
                </c:pt>
                <c:pt idx="11">
                  <c:v>0.51449275362318836</c:v>
                </c:pt>
                <c:pt idx="12">
                  <c:v>0.51449275362318836</c:v>
                </c:pt>
                <c:pt idx="13">
                  <c:v>0.51449275362318836</c:v>
                </c:pt>
                <c:pt idx="14">
                  <c:v>0.51449275362318836</c:v>
                </c:pt>
                <c:pt idx="15">
                  <c:v>0.51449275362318836</c:v>
                </c:pt>
                <c:pt idx="16">
                  <c:v>0.51449275362318836</c:v>
                </c:pt>
                <c:pt idx="17">
                  <c:v>0.51449275362318836</c:v>
                </c:pt>
                <c:pt idx="18">
                  <c:v>0.51449275362318836</c:v>
                </c:pt>
                <c:pt idx="19">
                  <c:v>0.51449275362318836</c:v>
                </c:pt>
                <c:pt idx="20">
                  <c:v>0.51449275362318836</c:v>
                </c:pt>
                <c:pt idx="21">
                  <c:v>0.51449275362318836</c:v>
                </c:pt>
                <c:pt idx="22">
                  <c:v>0.51449275362318836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6-4616-91AA-7C8AAF6E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F7D-4E78-8818-2CE49E2040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D-4E78-8818-2CE49E20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F7D-4E78-8818-2CE49E2040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D-4E78-8818-2CE49E20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'14'!$D$6:$D$29</c:f>
              <c:strCache>
                <c:ptCount val="23"/>
                <c:pt idx="0">
                  <c:v>BASE</c:v>
                </c:pt>
                <c:pt idx="1">
                  <c:v>ADAPTER</c:v>
                </c:pt>
                <c:pt idx="2">
                  <c:v>SLIDER</c:v>
                </c:pt>
                <c:pt idx="3">
                  <c:v>BASE</c:v>
                </c:pt>
                <c:pt idx="4">
                  <c:v>STOPPPER</c:v>
                </c:pt>
                <c:pt idx="6">
                  <c:v>BASE</c:v>
                </c:pt>
                <c:pt idx="7">
                  <c:v>COVER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SLIDER</c:v>
                </c:pt>
                <c:pt idx="13">
                  <c:v>ACTUATOR</c:v>
                </c:pt>
                <c:pt idx="14">
                  <c:v>LEAD GUIDE</c:v>
                </c:pt>
                <c:pt idx="15">
                  <c:v>BASE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'14'!$L$6:$L$29</c:f>
              <c:numCache>
                <c:formatCode>_(* #,##0_);_(* \(#,##0\);_(* "-"_);_(@_)</c:formatCode>
                <c:ptCount val="24"/>
                <c:pt idx="0">
                  <c:v>13596</c:v>
                </c:pt>
                <c:pt idx="1">
                  <c:v>1941</c:v>
                </c:pt>
                <c:pt idx="2">
                  <c:v>12724</c:v>
                </c:pt>
                <c:pt idx="3">
                  <c:v>11818</c:v>
                </c:pt>
                <c:pt idx="4">
                  <c:v>10814</c:v>
                </c:pt>
                <c:pt idx="6">
                  <c:v>3340</c:v>
                </c:pt>
                <c:pt idx="7">
                  <c:v>20760</c:v>
                </c:pt>
                <c:pt idx="8">
                  <c:v>12314</c:v>
                </c:pt>
                <c:pt idx="11">
                  <c:v>8686</c:v>
                </c:pt>
                <c:pt idx="12">
                  <c:v>24556</c:v>
                </c:pt>
                <c:pt idx="14">
                  <c:v>2614</c:v>
                </c:pt>
                <c:pt idx="15">
                  <c:v>808</c:v>
                </c:pt>
                <c:pt idx="16">
                  <c:v>9992</c:v>
                </c:pt>
                <c:pt idx="17">
                  <c:v>56500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8-4D9E-9D21-C07C94A8F993}"/>
            </c:ext>
          </c:extLst>
        </c:ser>
        <c:ser>
          <c:idx val="1"/>
          <c:order val="1"/>
          <c:tx>
            <c:v>계획</c:v>
          </c:tx>
          <c:cat>
            <c:strRef>
              <c:f>'14'!$D$6:$D$29</c:f>
              <c:strCache>
                <c:ptCount val="23"/>
                <c:pt idx="0">
                  <c:v>BASE</c:v>
                </c:pt>
                <c:pt idx="1">
                  <c:v>ADAPTER</c:v>
                </c:pt>
                <c:pt idx="2">
                  <c:v>SLIDER</c:v>
                </c:pt>
                <c:pt idx="3">
                  <c:v>BASE</c:v>
                </c:pt>
                <c:pt idx="4">
                  <c:v>STOPPPER</c:v>
                </c:pt>
                <c:pt idx="6">
                  <c:v>BASE</c:v>
                </c:pt>
                <c:pt idx="7">
                  <c:v>COVER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SLIDER</c:v>
                </c:pt>
                <c:pt idx="13">
                  <c:v>ACTUATOR</c:v>
                </c:pt>
                <c:pt idx="14">
                  <c:v>LEAD GUIDE</c:v>
                </c:pt>
                <c:pt idx="15">
                  <c:v>BASE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'14'!$J$6:$J$29</c:f>
              <c:numCache>
                <c:formatCode>_(* #,##0_);_(* \(#,##0\);_(* "-"_);_(@_)</c:formatCode>
                <c:ptCount val="24"/>
                <c:pt idx="0">
                  <c:v>13596</c:v>
                </c:pt>
                <c:pt idx="1">
                  <c:v>1941</c:v>
                </c:pt>
                <c:pt idx="2">
                  <c:v>12724</c:v>
                </c:pt>
                <c:pt idx="3">
                  <c:v>11818</c:v>
                </c:pt>
                <c:pt idx="4">
                  <c:v>10814</c:v>
                </c:pt>
                <c:pt idx="5">
                  <c:v>10206</c:v>
                </c:pt>
                <c:pt idx="6">
                  <c:v>3340</c:v>
                </c:pt>
                <c:pt idx="7">
                  <c:v>20760</c:v>
                </c:pt>
                <c:pt idx="8">
                  <c:v>12314</c:v>
                </c:pt>
                <c:pt idx="9">
                  <c:v>608</c:v>
                </c:pt>
                <c:pt idx="10">
                  <c:v>12356</c:v>
                </c:pt>
                <c:pt idx="11">
                  <c:v>8686</c:v>
                </c:pt>
                <c:pt idx="12">
                  <c:v>24556</c:v>
                </c:pt>
                <c:pt idx="13">
                  <c:v>11300</c:v>
                </c:pt>
                <c:pt idx="14">
                  <c:v>2614</c:v>
                </c:pt>
                <c:pt idx="15">
                  <c:v>808</c:v>
                </c:pt>
                <c:pt idx="16">
                  <c:v>9992</c:v>
                </c:pt>
                <c:pt idx="17">
                  <c:v>56500</c:v>
                </c:pt>
                <c:pt idx="18">
                  <c:v>0</c:v>
                </c:pt>
                <c:pt idx="19">
                  <c:v>0</c:v>
                </c:pt>
                <c:pt idx="20">
                  <c:v>3244</c:v>
                </c:pt>
                <c:pt idx="21">
                  <c:v>9988</c:v>
                </c:pt>
                <c:pt idx="22">
                  <c:v>11600</c:v>
                </c:pt>
                <c:pt idx="23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8-4D9E-9D21-C07C94A8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'14'!$AD$6:$AD$29</c:f>
              <c:strCache>
                <c:ptCount val="24"/>
                <c:pt idx="0">
                  <c:v>67%</c:v>
                </c:pt>
                <c:pt idx="1">
                  <c:v>25%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0%</c:v>
                </c:pt>
                <c:pt idx="6">
                  <c:v>33%</c:v>
                </c:pt>
                <c:pt idx="7">
                  <c:v>100%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79%</c:v>
                </c:pt>
                <c:pt idx="12">
                  <c:v>100%</c:v>
                </c:pt>
                <c:pt idx="13">
                  <c:v>0%</c:v>
                </c:pt>
                <c:pt idx="14">
                  <c:v>25%</c:v>
                </c:pt>
                <c:pt idx="15">
                  <c:v>67%</c:v>
                </c:pt>
                <c:pt idx="16">
                  <c:v>96%</c:v>
                </c:pt>
                <c:pt idx="17">
                  <c:v>96%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'14'!$D$6:$D$29</c:f>
              <c:strCache>
                <c:ptCount val="23"/>
                <c:pt idx="0">
                  <c:v>BASE</c:v>
                </c:pt>
                <c:pt idx="1">
                  <c:v>ADAPTER</c:v>
                </c:pt>
                <c:pt idx="2">
                  <c:v>SLIDER</c:v>
                </c:pt>
                <c:pt idx="3">
                  <c:v>BASE</c:v>
                </c:pt>
                <c:pt idx="4">
                  <c:v>STOPPPER</c:v>
                </c:pt>
                <c:pt idx="6">
                  <c:v>BASE</c:v>
                </c:pt>
                <c:pt idx="7">
                  <c:v>COVER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SLIDER</c:v>
                </c:pt>
                <c:pt idx="13">
                  <c:v>ACTUATOR</c:v>
                </c:pt>
                <c:pt idx="14">
                  <c:v>LEAD GUIDE</c:v>
                </c:pt>
                <c:pt idx="15">
                  <c:v>BASE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'14'!$AD$6:$AD$29</c:f>
              <c:numCache>
                <c:formatCode>0%</c:formatCode>
                <c:ptCount val="24"/>
                <c:pt idx="0">
                  <c:v>0.66666666666666663</c:v>
                </c:pt>
                <c:pt idx="1">
                  <c:v>0.25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0.33333333333333331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0.79166666666666663</c:v>
                </c:pt>
                <c:pt idx="12">
                  <c:v>1</c:v>
                </c:pt>
                <c:pt idx="13">
                  <c:v>0</c:v>
                </c:pt>
                <c:pt idx="14">
                  <c:v>0.25</c:v>
                </c:pt>
                <c:pt idx="15">
                  <c:v>0.66666666666666663</c:v>
                </c:pt>
                <c:pt idx="16">
                  <c:v>0.95833333333333337</c:v>
                </c:pt>
                <c:pt idx="17">
                  <c:v>0.95833333333333337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1-439B-B2E9-20DEA271F63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41-439B-B2E9-20DEA271F6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'14'!$D$6:$D$29</c:f>
              <c:strCache>
                <c:ptCount val="23"/>
                <c:pt idx="0">
                  <c:v>BASE</c:v>
                </c:pt>
                <c:pt idx="1">
                  <c:v>ADAPTER</c:v>
                </c:pt>
                <c:pt idx="2">
                  <c:v>SLIDER</c:v>
                </c:pt>
                <c:pt idx="3">
                  <c:v>BASE</c:v>
                </c:pt>
                <c:pt idx="4">
                  <c:v>STOPPPER</c:v>
                </c:pt>
                <c:pt idx="6">
                  <c:v>BASE</c:v>
                </c:pt>
                <c:pt idx="7">
                  <c:v>COVER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SLIDER</c:v>
                </c:pt>
                <c:pt idx="13">
                  <c:v>ACTUATOR</c:v>
                </c:pt>
                <c:pt idx="14">
                  <c:v>LEAD GUIDE</c:v>
                </c:pt>
                <c:pt idx="15">
                  <c:v>BASE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'14'!$AE$6:$AE$29</c:f>
              <c:numCache>
                <c:formatCode>0%</c:formatCode>
                <c:ptCount val="24"/>
                <c:pt idx="0">
                  <c:v>0.45312500000000006</c:v>
                </c:pt>
                <c:pt idx="1">
                  <c:v>0.45312500000000006</c:v>
                </c:pt>
                <c:pt idx="2">
                  <c:v>0.45312500000000006</c:v>
                </c:pt>
                <c:pt idx="3">
                  <c:v>0.45312500000000006</c:v>
                </c:pt>
                <c:pt idx="4">
                  <c:v>0.45312500000000006</c:v>
                </c:pt>
                <c:pt idx="5">
                  <c:v>0.45312500000000006</c:v>
                </c:pt>
                <c:pt idx="6">
                  <c:v>0.45312500000000006</c:v>
                </c:pt>
                <c:pt idx="7">
                  <c:v>0.45312500000000006</c:v>
                </c:pt>
                <c:pt idx="8">
                  <c:v>0.45312500000000006</c:v>
                </c:pt>
                <c:pt idx="9">
                  <c:v>0.45312500000000006</c:v>
                </c:pt>
                <c:pt idx="10">
                  <c:v>0.45312500000000006</c:v>
                </c:pt>
                <c:pt idx="11">
                  <c:v>0.45312500000000006</c:v>
                </c:pt>
                <c:pt idx="12">
                  <c:v>0.45312500000000006</c:v>
                </c:pt>
                <c:pt idx="13">
                  <c:v>0.45312500000000006</c:v>
                </c:pt>
                <c:pt idx="14">
                  <c:v>0.45312500000000006</c:v>
                </c:pt>
                <c:pt idx="15">
                  <c:v>0.45312500000000006</c:v>
                </c:pt>
                <c:pt idx="16">
                  <c:v>0.45312500000000006</c:v>
                </c:pt>
                <c:pt idx="17">
                  <c:v>0.45312500000000006</c:v>
                </c:pt>
                <c:pt idx="18">
                  <c:v>0.45312500000000006</c:v>
                </c:pt>
                <c:pt idx="19">
                  <c:v>0.45312500000000006</c:v>
                </c:pt>
                <c:pt idx="20">
                  <c:v>0.45312500000000006</c:v>
                </c:pt>
                <c:pt idx="21">
                  <c:v>0.45312500000000006</c:v>
                </c:pt>
                <c:pt idx="22">
                  <c:v>0.45312500000000006</c:v>
                </c:pt>
                <c:pt idx="23">
                  <c:v>0.45312500000000006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1-439B-B2E9-20DEA271F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'14'!$D$6:$D$29</c:f>
              <c:strCache>
                <c:ptCount val="23"/>
                <c:pt idx="0">
                  <c:v>BASE</c:v>
                </c:pt>
                <c:pt idx="1">
                  <c:v>ADAPTER</c:v>
                </c:pt>
                <c:pt idx="2">
                  <c:v>SLIDER</c:v>
                </c:pt>
                <c:pt idx="3">
                  <c:v>BASE</c:v>
                </c:pt>
                <c:pt idx="4">
                  <c:v>STOPPPER</c:v>
                </c:pt>
                <c:pt idx="6">
                  <c:v>BASE</c:v>
                </c:pt>
                <c:pt idx="7">
                  <c:v>COVER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SLIDER</c:v>
                </c:pt>
                <c:pt idx="13">
                  <c:v>ACTUATOR</c:v>
                </c:pt>
                <c:pt idx="14">
                  <c:v>LEAD GUIDE</c:v>
                </c:pt>
                <c:pt idx="15">
                  <c:v>BASE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'14'!$L$6:$L$29</c:f>
              <c:numCache>
                <c:formatCode>_(* #,##0_);_(* \(#,##0\);_(* "-"_);_(@_)</c:formatCode>
                <c:ptCount val="24"/>
                <c:pt idx="0">
                  <c:v>13596</c:v>
                </c:pt>
                <c:pt idx="1">
                  <c:v>1941</c:v>
                </c:pt>
                <c:pt idx="2">
                  <c:v>12724</c:v>
                </c:pt>
                <c:pt idx="3">
                  <c:v>11818</c:v>
                </c:pt>
                <c:pt idx="4">
                  <c:v>10814</c:v>
                </c:pt>
                <c:pt idx="6">
                  <c:v>3340</c:v>
                </c:pt>
                <c:pt idx="7">
                  <c:v>20760</c:v>
                </c:pt>
                <c:pt idx="8">
                  <c:v>12314</c:v>
                </c:pt>
                <c:pt idx="11">
                  <c:v>8686</c:v>
                </c:pt>
                <c:pt idx="12">
                  <c:v>24556</c:v>
                </c:pt>
                <c:pt idx="14">
                  <c:v>2614</c:v>
                </c:pt>
                <c:pt idx="15">
                  <c:v>808</c:v>
                </c:pt>
                <c:pt idx="16">
                  <c:v>9992</c:v>
                </c:pt>
                <c:pt idx="17">
                  <c:v>56500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0-49DB-9F23-6CDEFCD4934A}"/>
            </c:ext>
          </c:extLst>
        </c:ser>
        <c:ser>
          <c:idx val="1"/>
          <c:order val="1"/>
          <c:tx>
            <c:v>계획</c:v>
          </c:tx>
          <c:cat>
            <c:strRef>
              <c:f>'14'!$D$6:$D$29</c:f>
              <c:strCache>
                <c:ptCount val="23"/>
                <c:pt idx="0">
                  <c:v>BASE</c:v>
                </c:pt>
                <c:pt idx="1">
                  <c:v>ADAPTER</c:v>
                </c:pt>
                <c:pt idx="2">
                  <c:v>SLIDER</c:v>
                </c:pt>
                <c:pt idx="3">
                  <c:v>BASE</c:v>
                </c:pt>
                <c:pt idx="4">
                  <c:v>STOPPPER</c:v>
                </c:pt>
                <c:pt idx="6">
                  <c:v>BASE</c:v>
                </c:pt>
                <c:pt idx="7">
                  <c:v>COVER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SLIDER</c:v>
                </c:pt>
                <c:pt idx="13">
                  <c:v>ACTUATOR</c:v>
                </c:pt>
                <c:pt idx="14">
                  <c:v>LEAD GUIDE</c:v>
                </c:pt>
                <c:pt idx="15">
                  <c:v>BASE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'14'!$J$6:$J$29</c:f>
              <c:numCache>
                <c:formatCode>_(* #,##0_);_(* \(#,##0\);_(* "-"_);_(@_)</c:formatCode>
                <c:ptCount val="24"/>
                <c:pt idx="0">
                  <c:v>13596</c:v>
                </c:pt>
                <c:pt idx="1">
                  <c:v>1941</c:v>
                </c:pt>
                <c:pt idx="2">
                  <c:v>12724</c:v>
                </c:pt>
                <c:pt idx="3">
                  <c:v>11818</c:v>
                </c:pt>
                <c:pt idx="4">
                  <c:v>10814</c:v>
                </c:pt>
                <c:pt idx="5">
                  <c:v>10206</c:v>
                </c:pt>
                <c:pt idx="6">
                  <c:v>3340</c:v>
                </c:pt>
                <c:pt idx="7">
                  <c:v>20760</c:v>
                </c:pt>
                <c:pt idx="8">
                  <c:v>12314</c:v>
                </c:pt>
                <c:pt idx="9">
                  <c:v>608</c:v>
                </c:pt>
                <c:pt idx="10">
                  <c:v>12356</c:v>
                </c:pt>
                <c:pt idx="11">
                  <c:v>8686</c:v>
                </c:pt>
                <c:pt idx="12">
                  <c:v>24556</c:v>
                </c:pt>
                <c:pt idx="13">
                  <c:v>11300</c:v>
                </c:pt>
                <c:pt idx="14">
                  <c:v>2614</c:v>
                </c:pt>
                <c:pt idx="15">
                  <c:v>808</c:v>
                </c:pt>
                <c:pt idx="16">
                  <c:v>9992</c:v>
                </c:pt>
                <c:pt idx="17">
                  <c:v>56500</c:v>
                </c:pt>
                <c:pt idx="18">
                  <c:v>0</c:v>
                </c:pt>
                <c:pt idx="19">
                  <c:v>0</c:v>
                </c:pt>
                <c:pt idx="20">
                  <c:v>3244</c:v>
                </c:pt>
                <c:pt idx="21">
                  <c:v>9988</c:v>
                </c:pt>
                <c:pt idx="22">
                  <c:v>11600</c:v>
                </c:pt>
                <c:pt idx="23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0-49DB-9F23-6CDEFCD49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'14'!$AD$6:$AD$29</c:f>
              <c:strCache>
                <c:ptCount val="24"/>
                <c:pt idx="0">
                  <c:v>67%</c:v>
                </c:pt>
                <c:pt idx="1">
                  <c:v>25%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0%</c:v>
                </c:pt>
                <c:pt idx="6">
                  <c:v>33%</c:v>
                </c:pt>
                <c:pt idx="7">
                  <c:v>100%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79%</c:v>
                </c:pt>
                <c:pt idx="12">
                  <c:v>100%</c:v>
                </c:pt>
                <c:pt idx="13">
                  <c:v>0%</c:v>
                </c:pt>
                <c:pt idx="14">
                  <c:v>25%</c:v>
                </c:pt>
                <c:pt idx="15">
                  <c:v>67%</c:v>
                </c:pt>
                <c:pt idx="16">
                  <c:v>96%</c:v>
                </c:pt>
                <c:pt idx="17">
                  <c:v>96%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'14'!$D$6:$D$29</c:f>
              <c:strCache>
                <c:ptCount val="23"/>
                <c:pt idx="0">
                  <c:v>BASE</c:v>
                </c:pt>
                <c:pt idx="1">
                  <c:v>ADAPTER</c:v>
                </c:pt>
                <c:pt idx="2">
                  <c:v>SLIDER</c:v>
                </c:pt>
                <c:pt idx="3">
                  <c:v>BASE</c:v>
                </c:pt>
                <c:pt idx="4">
                  <c:v>STOPPPER</c:v>
                </c:pt>
                <c:pt idx="6">
                  <c:v>BASE</c:v>
                </c:pt>
                <c:pt idx="7">
                  <c:v>COVER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SLIDER</c:v>
                </c:pt>
                <c:pt idx="13">
                  <c:v>ACTUATOR</c:v>
                </c:pt>
                <c:pt idx="14">
                  <c:v>LEAD GUIDE</c:v>
                </c:pt>
                <c:pt idx="15">
                  <c:v>BASE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'14'!$AD$6:$AD$29</c:f>
              <c:numCache>
                <c:formatCode>0%</c:formatCode>
                <c:ptCount val="24"/>
                <c:pt idx="0">
                  <c:v>0.66666666666666663</c:v>
                </c:pt>
                <c:pt idx="1">
                  <c:v>0.25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0.33333333333333331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0.79166666666666663</c:v>
                </c:pt>
                <c:pt idx="12">
                  <c:v>1</c:v>
                </c:pt>
                <c:pt idx="13">
                  <c:v>0</c:v>
                </c:pt>
                <c:pt idx="14">
                  <c:v>0.25</c:v>
                </c:pt>
                <c:pt idx="15">
                  <c:v>0.66666666666666663</c:v>
                </c:pt>
                <c:pt idx="16">
                  <c:v>0.95833333333333337</c:v>
                </c:pt>
                <c:pt idx="17">
                  <c:v>0.95833333333333337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C-457B-A84E-C106A1BAA51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AC-457B-A84E-C106A1BAA51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'14'!$D$6:$D$29</c:f>
              <c:strCache>
                <c:ptCount val="23"/>
                <c:pt idx="0">
                  <c:v>BASE</c:v>
                </c:pt>
                <c:pt idx="1">
                  <c:v>ADAPTER</c:v>
                </c:pt>
                <c:pt idx="2">
                  <c:v>SLIDER</c:v>
                </c:pt>
                <c:pt idx="3">
                  <c:v>BASE</c:v>
                </c:pt>
                <c:pt idx="4">
                  <c:v>STOPPPER</c:v>
                </c:pt>
                <c:pt idx="6">
                  <c:v>BASE</c:v>
                </c:pt>
                <c:pt idx="7">
                  <c:v>COVER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SLIDER</c:v>
                </c:pt>
                <c:pt idx="13">
                  <c:v>ACTUATOR</c:v>
                </c:pt>
                <c:pt idx="14">
                  <c:v>LEAD GUIDE</c:v>
                </c:pt>
                <c:pt idx="15">
                  <c:v>BASE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'14'!$AE$6:$AE$29</c:f>
              <c:numCache>
                <c:formatCode>0%</c:formatCode>
                <c:ptCount val="24"/>
                <c:pt idx="0">
                  <c:v>0.45312500000000006</c:v>
                </c:pt>
                <c:pt idx="1">
                  <c:v>0.45312500000000006</c:v>
                </c:pt>
                <c:pt idx="2">
                  <c:v>0.45312500000000006</c:v>
                </c:pt>
                <c:pt idx="3">
                  <c:v>0.45312500000000006</c:v>
                </c:pt>
                <c:pt idx="4">
                  <c:v>0.45312500000000006</c:v>
                </c:pt>
                <c:pt idx="5">
                  <c:v>0.45312500000000006</c:v>
                </c:pt>
                <c:pt idx="6">
                  <c:v>0.45312500000000006</c:v>
                </c:pt>
                <c:pt idx="7">
                  <c:v>0.45312500000000006</c:v>
                </c:pt>
                <c:pt idx="8">
                  <c:v>0.45312500000000006</c:v>
                </c:pt>
                <c:pt idx="9">
                  <c:v>0.45312500000000006</c:v>
                </c:pt>
                <c:pt idx="10">
                  <c:v>0.45312500000000006</c:v>
                </c:pt>
                <c:pt idx="11">
                  <c:v>0.45312500000000006</c:v>
                </c:pt>
                <c:pt idx="12">
                  <c:v>0.45312500000000006</c:v>
                </c:pt>
                <c:pt idx="13">
                  <c:v>0.45312500000000006</c:v>
                </c:pt>
                <c:pt idx="14">
                  <c:v>0.45312500000000006</c:v>
                </c:pt>
                <c:pt idx="15">
                  <c:v>0.45312500000000006</c:v>
                </c:pt>
                <c:pt idx="16">
                  <c:v>0.45312500000000006</c:v>
                </c:pt>
                <c:pt idx="17">
                  <c:v>0.45312500000000006</c:v>
                </c:pt>
                <c:pt idx="18">
                  <c:v>0.45312500000000006</c:v>
                </c:pt>
                <c:pt idx="19">
                  <c:v>0.45312500000000006</c:v>
                </c:pt>
                <c:pt idx="20">
                  <c:v>0.45312500000000006</c:v>
                </c:pt>
                <c:pt idx="21">
                  <c:v>0.45312500000000006</c:v>
                </c:pt>
                <c:pt idx="22">
                  <c:v>0.45312500000000006</c:v>
                </c:pt>
                <c:pt idx="23">
                  <c:v>0.45312500000000006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C-457B-A84E-C106A1BAA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'03'!$L$6:$L$27</c:f>
              <c:numCache>
                <c:formatCode>_(* #,##0_);_(* \(#,##0\);_(* "-"_);_(@_)</c:formatCode>
                <c:ptCount val="22"/>
                <c:pt idx="0">
                  <c:v>10978</c:v>
                </c:pt>
                <c:pt idx="2">
                  <c:v>6168</c:v>
                </c:pt>
                <c:pt idx="3">
                  <c:v>3449</c:v>
                </c:pt>
                <c:pt idx="5">
                  <c:v>117</c:v>
                </c:pt>
                <c:pt idx="6">
                  <c:v>5297</c:v>
                </c:pt>
                <c:pt idx="8">
                  <c:v>608</c:v>
                </c:pt>
                <c:pt idx="10">
                  <c:v>10666</c:v>
                </c:pt>
                <c:pt idx="12">
                  <c:v>11100</c:v>
                </c:pt>
                <c:pt idx="13">
                  <c:v>330</c:v>
                </c:pt>
                <c:pt idx="14">
                  <c:v>10216</c:v>
                </c:pt>
                <c:pt idx="15">
                  <c:v>56468</c:v>
                </c:pt>
                <c:pt idx="18">
                  <c:v>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2-4333-9E2F-4C9D55595EE9}"/>
            </c:ext>
          </c:extLst>
        </c:ser>
        <c:ser>
          <c:idx val="1"/>
          <c:order val="1"/>
          <c:tx>
            <c:v>계획</c:v>
          </c:tx>
          <c:cat>
            <c:strRef>
              <c:f>'03'!$D$6:$D$27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'03'!$J$6:$J$27</c:f>
              <c:numCache>
                <c:formatCode>_(* #,##0_);_(* \(#,##0\);_(* "-"_);_(@_)</c:formatCode>
                <c:ptCount val="22"/>
                <c:pt idx="0">
                  <c:v>10978</c:v>
                </c:pt>
                <c:pt idx="1">
                  <c:v>1500</c:v>
                </c:pt>
                <c:pt idx="2">
                  <c:v>6168</c:v>
                </c:pt>
                <c:pt idx="3">
                  <c:v>3449</c:v>
                </c:pt>
                <c:pt idx="4">
                  <c:v>10206</c:v>
                </c:pt>
                <c:pt idx="5">
                  <c:v>117</c:v>
                </c:pt>
                <c:pt idx="6">
                  <c:v>5297</c:v>
                </c:pt>
                <c:pt idx="7">
                  <c:v>3204</c:v>
                </c:pt>
                <c:pt idx="8">
                  <c:v>608</c:v>
                </c:pt>
                <c:pt idx="9">
                  <c:v>12356</c:v>
                </c:pt>
                <c:pt idx="10">
                  <c:v>10666</c:v>
                </c:pt>
                <c:pt idx="11">
                  <c:v>1472</c:v>
                </c:pt>
                <c:pt idx="12">
                  <c:v>11100</c:v>
                </c:pt>
                <c:pt idx="13">
                  <c:v>330</c:v>
                </c:pt>
                <c:pt idx="14">
                  <c:v>10216</c:v>
                </c:pt>
                <c:pt idx="15">
                  <c:v>56468</c:v>
                </c:pt>
                <c:pt idx="16">
                  <c:v>0</c:v>
                </c:pt>
                <c:pt idx="17">
                  <c:v>0</c:v>
                </c:pt>
                <c:pt idx="18">
                  <c:v>6519</c:v>
                </c:pt>
                <c:pt idx="19">
                  <c:v>9988</c:v>
                </c:pt>
                <c:pt idx="20">
                  <c:v>11600</c:v>
                </c:pt>
                <c:pt idx="21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2-4333-9E2F-4C9D55595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A8B-4BD9-99AC-655B38C71F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B-4BD9-99AC-655B38C71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A8B-4BD9-99AC-655B38C71FB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B-4BD9-99AC-655B38C71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'15'!$D$6:$D$27</c:f>
              <c:strCache>
                <c:ptCount val="21"/>
                <c:pt idx="0">
                  <c:v>BASE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BASE</c:v>
                </c:pt>
                <c:pt idx="6">
                  <c:v>COVER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SLIDER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'15'!$L$6:$L$27</c:f>
              <c:numCache>
                <c:formatCode>_(* #,##0_);_(* \(#,##0\);_(* "-"_);_(@_)</c:formatCode>
                <c:ptCount val="22"/>
                <c:pt idx="0">
                  <c:v>3080</c:v>
                </c:pt>
                <c:pt idx="2">
                  <c:v>11592</c:v>
                </c:pt>
                <c:pt idx="3">
                  <c:v>11584</c:v>
                </c:pt>
                <c:pt idx="5">
                  <c:v>8874</c:v>
                </c:pt>
                <c:pt idx="6">
                  <c:v>3156</c:v>
                </c:pt>
                <c:pt idx="7">
                  <c:v>12182</c:v>
                </c:pt>
                <c:pt idx="10">
                  <c:v>7719</c:v>
                </c:pt>
                <c:pt idx="11">
                  <c:v>24428</c:v>
                </c:pt>
                <c:pt idx="12">
                  <c:v>9654</c:v>
                </c:pt>
                <c:pt idx="13">
                  <c:v>9274</c:v>
                </c:pt>
                <c:pt idx="14">
                  <c:v>10630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5-459A-A0DA-79E1DFFD3C75}"/>
            </c:ext>
          </c:extLst>
        </c:ser>
        <c:ser>
          <c:idx val="1"/>
          <c:order val="1"/>
          <c:tx>
            <c:v>계획</c:v>
          </c:tx>
          <c:cat>
            <c:strRef>
              <c:f>'15'!$D$6:$D$27</c:f>
              <c:strCache>
                <c:ptCount val="21"/>
                <c:pt idx="0">
                  <c:v>BASE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BASE</c:v>
                </c:pt>
                <c:pt idx="6">
                  <c:v>COVER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SLIDER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'15'!$J$6:$J$27</c:f>
              <c:numCache>
                <c:formatCode>_(* #,##0_);_(* \(#,##0\);_(* "-"_);_(@_)</c:formatCode>
                <c:ptCount val="22"/>
                <c:pt idx="0">
                  <c:v>3080</c:v>
                </c:pt>
                <c:pt idx="1">
                  <c:v>12724</c:v>
                </c:pt>
                <c:pt idx="2">
                  <c:v>11592</c:v>
                </c:pt>
                <c:pt idx="3">
                  <c:v>11584</c:v>
                </c:pt>
                <c:pt idx="4">
                  <c:v>10206</c:v>
                </c:pt>
                <c:pt idx="5">
                  <c:v>8874</c:v>
                </c:pt>
                <c:pt idx="6">
                  <c:v>3156</c:v>
                </c:pt>
                <c:pt idx="7">
                  <c:v>12182</c:v>
                </c:pt>
                <c:pt idx="8">
                  <c:v>608</c:v>
                </c:pt>
                <c:pt idx="9">
                  <c:v>12356</c:v>
                </c:pt>
                <c:pt idx="10">
                  <c:v>7719</c:v>
                </c:pt>
                <c:pt idx="11">
                  <c:v>24428</c:v>
                </c:pt>
                <c:pt idx="12">
                  <c:v>9654</c:v>
                </c:pt>
                <c:pt idx="13">
                  <c:v>9274</c:v>
                </c:pt>
                <c:pt idx="14">
                  <c:v>10630</c:v>
                </c:pt>
                <c:pt idx="15">
                  <c:v>56500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5-459A-A0DA-79E1DFFD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'15'!$AD$6:$AD$27</c:f>
              <c:strCache>
                <c:ptCount val="22"/>
                <c:pt idx="0">
                  <c:v>17%</c:v>
                </c:pt>
                <c:pt idx="1">
                  <c:v>0%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92%</c:v>
                </c:pt>
                <c:pt idx="6">
                  <c:v>17%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88%</c:v>
                </c:pt>
                <c:pt idx="11">
                  <c:v>100%</c:v>
                </c:pt>
                <c:pt idx="12">
                  <c:v>92%</c:v>
                </c:pt>
                <c:pt idx="13">
                  <c:v>83%</c:v>
                </c:pt>
                <c:pt idx="14">
                  <c:v>100%</c:v>
                </c:pt>
                <c:pt idx="15">
                  <c:v>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'15'!$D$6:$D$27</c:f>
              <c:strCache>
                <c:ptCount val="21"/>
                <c:pt idx="0">
                  <c:v>BASE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BASE</c:v>
                </c:pt>
                <c:pt idx="6">
                  <c:v>COVER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SLIDER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'15'!$AD$6:$AD$27</c:f>
              <c:numCache>
                <c:formatCode>0%</c:formatCode>
                <c:ptCount val="22"/>
                <c:pt idx="0">
                  <c:v>0.16666666666666666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0.91666666666666663</c:v>
                </c:pt>
                <c:pt idx="6">
                  <c:v>0.16666666666666666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0.875</c:v>
                </c:pt>
                <c:pt idx="11">
                  <c:v>1</c:v>
                </c:pt>
                <c:pt idx="12">
                  <c:v>0.91666666666666663</c:v>
                </c:pt>
                <c:pt idx="13">
                  <c:v>0.83333333333333337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7-44EE-B56E-C7A062B4B4A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C7-44EE-B56E-C7A062B4B4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'15'!$D$6:$D$27</c:f>
              <c:strCache>
                <c:ptCount val="21"/>
                <c:pt idx="0">
                  <c:v>BASE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BASE</c:v>
                </c:pt>
                <c:pt idx="6">
                  <c:v>COVER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SLIDER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'15'!$AE$6:$AE$27</c:f>
              <c:numCache>
                <c:formatCode>0%</c:formatCode>
                <c:ptCount val="22"/>
                <c:pt idx="0">
                  <c:v>0.40340909090909088</c:v>
                </c:pt>
                <c:pt idx="1">
                  <c:v>0.40340909090909088</c:v>
                </c:pt>
                <c:pt idx="2">
                  <c:v>0.40340909090909088</c:v>
                </c:pt>
                <c:pt idx="3">
                  <c:v>0.40340909090909088</c:v>
                </c:pt>
                <c:pt idx="4">
                  <c:v>0.40340909090909088</c:v>
                </c:pt>
                <c:pt idx="5">
                  <c:v>0.40340909090909088</c:v>
                </c:pt>
                <c:pt idx="6">
                  <c:v>0.40340909090909088</c:v>
                </c:pt>
                <c:pt idx="7">
                  <c:v>0.40340909090909088</c:v>
                </c:pt>
                <c:pt idx="8">
                  <c:v>0.40340909090909088</c:v>
                </c:pt>
                <c:pt idx="9">
                  <c:v>0.40340909090909088</c:v>
                </c:pt>
                <c:pt idx="10">
                  <c:v>0.40340909090909088</c:v>
                </c:pt>
                <c:pt idx="11">
                  <c:v>0.40340909090909088</c:v>
                </c:pt>
                <c:pt idx="12">
                  <c:v>0.40340909090909088</c:v>
                </c:pt>
                <c:pt idx="13">
                  <c:v>0.40340909090909088</c:v>
                </c:pt>
                <c:pt idx="14">
                  <c:v>0.40340909090909088</c:v>
                </c:pt>
                <c:pt idx="15">
                  <c:v>0.40340909090909088</c:v>
                </c:pt>
                <c:pt idx="16">
                  <c:v>0.40340909090909088</c:v>
                </c:pt>
                <c:pt idx="17">
                  <c:v>0.40340909090909088</c:v>
                </c:pt>
                <c:pt idx="18">
                  <c:v>0.40340909090909088</c:v>
                </c:pt>
                <c:pt idx="19">
                  <c:v>0.40340909090909088</c:v>
                </c:pt>
                <c:pt idx="20">
                  <c:v>0.40340909090909088</c:v>
                </c:pt>
                <c:pt idx="21">
                  <c:v>0.40340909090909088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7-44EE-B56E-C7A062B4B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'15'!$D$6:$D$27</c:f>
              <c:strCache>
                <c:ptCount val="21"/>
                <c:pt idx="0">
                  <c:v>BASE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BASE</c:v>
                </c:pt>
                <c:pt idx="6">
                  <c:v>COVER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SLIDER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'15'!$L$6:$L$27</c:f>
              <c:numCache>
                <c:formatCode>_(* #,##0_);_(* \(#,##0\);_(* "-"_);_(@_)</c:formatCode>
                <c:ptCount val="22"/>
                <c:pt idx="0">
                  <c:v>3080</c:v>
                </c:pt>
                <c:pt idx="2">
                  <c:v>11592</c:v>
                </c:pt>
                <c:pt idx="3">
                  <c:v>11584</c:v>
                </c:pt>
                <c:pt idx="5">
                  <c:v>8874</c:v>
                </c:pt>
                <c:pt idx="6">
                  <c:v>3156</c:v>
                </c:pt>
                <c:pt idx="7">
                  <c:v>12182</c:v>
                </c:pt>
                <c:pt idx="10">
                  <c:v>7719</c:v>
                </c:pt>
                <c:pt idx="11">
                  <c:v>24428</c:v>
                </c:pt>
                <c:pt idx="12">
                  <c:v>9654</c:v>
                </c:pt>
                <c:pt idx="13">
                  <c:v>9274</c:v>
                </c:pt>
                <c:pt idx="14">
                  <c:v>10630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6-4051-B001-CC860BC29B26}"/>
            </c:ext>
          </c:extLst>
        </c:ser>
        <c:ser>
          <c:idx val="1"/>
          <c:order val="1"/>
          <c:tx>
            <c:v>계획</c:v>
          </c:tx>
          <c:cat>
            <c:strRef>
              <c:f>'15'!$D$6:$D$27</c:f>
              <c:strCache>
                <c:ptCount val="21"/>
                <c:pt idx="0">
                  <c:v>BASE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BASE</c:v>
                </c:pt>
                <c:pt idx="6">
                  <c:v>COVER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SLIDER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'15'!$J$6:$J$27</c:f>
              <c:numCache>
                <c:formatCode>_(* #,##0_);_(* \(#,##0\);_(* "-"_);_(@_)</c:formatCode>
                <c:ptCount val="22"/>
                <c:pt idx="0">
                  <c:v>3080</c:v>
                </c:pt>
                <c:pt idx="1">
                  <c:v>12724</c:v>
                </c:pt>
                <c:pt idx="2">
                  <c:v>11592</c:v>
                </c:pt>
                <c:pt idx="3">
                  <c:v>11584</c:v>
                </c:pt>
                <c:pt idx="4">
                  <c:v>10206</c:v>
                </c:pt>
                <c:pt idx="5">
                  <c:v>8874</c:v>
                </c:pt>
                <c:pt idx="6">
                  <c:v>3156</c:v>
                </c:pt>
                <c:pt idx="7">
                  <c:v>12182</c:v>
                </c:pt>
                <c:pt idx="8">
                  <c:v>608</c:v>
                </c:pt>
                <c:pt idx="9">
                  <c:v>12356</c:v>
                </c:pt>
                <c:pt idx="10">
                  <c:v>7719</c:v>
                </c:pt>
                <c:pt idx="11">
                  <c:v>24428</c:v>
                </c:pt>
                <c:pt idx="12">
                  <c:v>9654</c:v>
                </c:pt>
                <c:pt idx="13">
                  <c:v>9274</c:v>
                </c:pt>
                <c:pt idx="14">
                  <c:v>10630</c:v>
                </c:pt>
                <c:pt idx="15">
                  <c:v>56500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6-4051-B001-CC860BC29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'15'!$AD$6:$AD$27</c:f>
              <c:strCache>
                <c:ptCount val="22"/>
                <c:pt idx="0">
                  <c:v>17%</c:v>
                </c:pt>
                <c:pt idx="1">
                  <c:v>0%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92%</c:v>
                </c:pt>
                <c:pt idx="6">
                  <c:v>17%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88%</c:v>
                </c:pt>
                <c:pt idx="11">
                  <c:v>100%</c:v>
                </c:pt>
                <c:pt idx="12">
                  <c:v>92%</c:v>
                </c:pt>
                <c:pt idx="13">
                  <c:v>83%</c:v>
                </c:pt>
                <c:pt idx="14">
                  <c:v>100%</c:v>
                </c:pt>
                <c:pt idx="15">
                  <c:v>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'15'!$D$6:$D$27</c:f>
              <c:strCache>
                <c:ptCount val="21"/>
                <c:pt idx="0">
                  <c:v>BASE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BASE</c:v>
                </c:pt>
                <c:pt idx="6">
                  <c:v>COVER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SLIDER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'15'!$AD$6:$AD$27</c:f>
              <c:numCache>
                <c:formatCode>0%</c:formatCode>
                <c:ptCount val="22"/>
                <c:pt idx="0">
                  <c:v>0.16666666666666666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0.91666666666666663</c:v>
                </c:pt>
                <c:pt idx="6">
                  <c:v>0.16666666666666666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0.875</c:v>
                </c:pt>
                <c:pt idx="11">
                  <c:v>1</c:v>
                </c:pt>
                <c:pt idx="12">
                  <c:v>0.91666666666666663</c:v>
                </c:pt>
                <c:pt idx="13">
                  <c:v>0.83333333333333337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F-45BC-85B3-1FA385B2BF7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EF-45BC-85B3-1FA385B2BF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'15'!$D$6:$D$27</c:f>
              <c:strCache>
                <c:ptCount val="21"/>
                <c:pt idx="0">
                  <c:v>BASE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BASE</c:v>
                </c:pt>
                <c:pt idx="6">
                  <c:v>COVER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SLIDER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'15'!$AE$6:$AE$27</c:f>
              <c:numCache>
                <c:formatCode>0%</c:formatCode>
                <c:ptCount val="22"/>
                <c:pt idx="0">
                  <c:v>0.40340909090909088</c:v>
                </c:pt>
                <c:pt idx="1">
                  <c:v>0.40340909090909088</c:v>
                </c:pt>
                <c:pt idx="2">
                  <c:v>0.40340909090909088</c:v>
                </c:pt>
                <c:pt idx="3">
                  <c:v>0.40340909090909088</c:v>
                </c:pt>
                <c:pt idx="4">
                  <c:v>0.40340909090909088</c:v>
                </c:pt>
                <c:pt idx="5">
                  <c:v>0.40340909090909088</c:v>
                </c:pt>
                <c:pt idx="6">
                  <c:v>0.40340909090909088</c:v>
                </c:pt>
                <c:pt idx="7">
                  <c:v>0.40340909090909088</c:v>
                </c:pt>
                <c:pt idx="8">
                  <c:v>0.40340909090909088</c:v>
                </c:pt>
                <c:pt idx="9">
                  <c:v>0.40340909090909088</c:v>
                </c:pt>
                <c:pt idx="10">
                  <c:v>0.40340909090909088</c:v>
                </c:pt>
                <c:pt idx="11">
                  <c:v>0.40340909090909088</c:v>
                </c:pt>
                <c:pt idx="12">
                  <c:v>0.40340909090909088</c:v>
                </c:pt>
                <c:pt idx="13">
                  <c:v>0.40340909090909088</c:v>
                </c:pt>
                <c:pt idx="14">
                  <c:v>0.40340909090909088</c:v>
                </c:pt>
                <c:pt idx="15">
                  <c:v>0.40340909090909088</c:v>
                </c:pt>
                <c:pt idx="16">
                  <c:v>0.40340909090909088</c:v>
                </c:pt>
                <c:pt idx="17">
                  <c:v>0.40340909090909088</c:v>
                </c:pt>
                <c:pt idx="18">
                  <c:v>0.40340909090909088</c:v>
                </c:pt>
                <c:pt idx="19">
                  <c:v>0.40340909090909088</c:v>
                </c:pt>
                <c:pt idx="20">
                  <c:v>0.40340909090909088</c:v>
                </c:pt>
                <c:pt idx="21">
                  <c:v>0.40340909090909088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F-45BC-85B3-1FA385B2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01D-478B-A500-7739E19535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D-478B-A500-7739E195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01D-478B-A500-7739E19535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D-478B-A500-7739E195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'17'!$D$6:$D$27</c:f>
              <c:strCache>
                <c:ptCount val="21"/>
                <c:pt idx="0">
                  <c:v>BASE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BASE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SLIDER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'17'!$L$6:$L$27</c:f>
              <c:numCache>
                <c:formatCode>_(* #,##0_);_(* \(#,##0\);_(* "-"_);_(@_)</c:formatCode>
                <c:ptCount val="22"/>
                <c:pt idx="2">
                  <c:v>5898</c:v>
                </c:pt>
                <c:pt idx="3">
                  <c:v>6366</c:v>
                </c:pt>
                <c:pt idx="5">
                  <c:v>10400</c:v>
                </c:pt>
                <c:pt idx="7">
                  <c:v>11830</c:v>
                </c:pt>
                <c:pt idx="10">
                  <c:v>4588</c:v>
                </c:pt>
                <c:pt idx="11">
                  <c:v>23372</c:v>
                </c:pt>
                <c:pt idx="12">
                  <c:v>6186</c:v>
                </c:pt>
                <c:pt idx="13">
                  <c:v>6870</c:v>
                </c:pt>
                <c:pt idx="14">
                  <c:v>10894</c:v>
                </c:pt>
                <c:pt idx="15">
                  <c:v>55900</c:v>
                </c:pt>
                <c:pt idx="21">
                  <c:v>356070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2-4190-ACCC-E067F4742E30}"/>
            </c:ext>
          </c:extLst>
        </c:ser>
        <c:ser>
          <c:idx val="1"/>
          <c:order val="1"/>
          <c:tx>
            <c:v>계획</c:v>
          </c:tx>
          <c:cat>
            <c:strRef>
              <c:f>'17'!$D$6:$D$27</c:f>
              <c:strCache>
                <c:ptCount val="21"/>
                <c:pt idx="0">
                  <c:v>BASE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BASE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SLIDER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'17'!$J$6:$J$27</c:f>
              <c:numCache>
                <c:formatCode>_(* #,##0_);_(* \(#,##0\);_(* "-"_);_(@_)</c:formatCode>
                <c:ptCount val="22"/>
                <c:pt idx="0">
                  <c:v>3080</c:v>
                </c:pt>
                <c:pt idx="1">
                  <c:v>12724</c:v>
                </c:pt>
                <c:pt idx="2">
                  <c:v>5898</c:v>
                </c:pt>
                <c:pt idx="3">
                  <c:v>6366</c:v>
                </c:pt>
                <c:pt idx="4">
                  <c:v>10206</c:v>
                </c:pt>
                <c:pt idx="5">
                  <c:v>10400</c:v>
                </c:pt>
                <c:pt idx="6">
                  <c:v>3156</c:v>
                </c:pt>
                <c:pt idx="7">
                  <c:v>11830</c:v>
                </c:pt>
                <c:pt idx="8">
                  <c:v>608</c:v>
                </c:pt>
                <c:pt idx="9">
                  <c:v>12356</c:v>
                </c:pt>
                <c:pt idx="10">
                  <c:v>4588</c:v>
                </c:pt>
                <c:pt idx="11">
                  <c:v>23372</c:v>
                </c:pt>
                <c:pt idx="12">
                  <c:v>6166</c:v>
                </c:pt>
                <c:pt idx="13">
                  <c:v>6870</c:v>
                </c:pt>
                <c:pt idx="14">
                  <c:v>10894</c:v>
                </c:pt>
                <c:pt idx="15">
                  <c:v>55900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356070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2-4190-ACCC-E067F4742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'17'!$AD$6:$AD$27</c:f>
              <c:strCache>
                <c:ptCount val="22"/>
                <c:pt idx="0">
                  <c:v>0%</c:v>
                </c:pt>
                <c:pt idx="1">
                  <c:v>0%</c:v>
                </c:pt>
                <c:pt idx="2">
                  <c:v>58%</c:v>
                </c:pt>
                <c:pt idx="3">
                  <c:v>71%</c:v>
                </c:pt>
                <c:pt idx="4">
                  <c:v>0%</c:v>
                </c:pt>
                <c:pt idx="5">
                  <c:v>100%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63%</c:v>
                </c:pt>
                <c:pt idx="11">
                  <c:v>100%</c:v>
                </c:pt>
                <c:pt idx="12">
                  <c:v>67%</c:v>
                </c:pt>
                <c:pt idx="13">
                  <c:v>75%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96%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'17'!$D$6:$D$27</c:f>
              <c:strCache>
                <c:ptCount val="21"/>
                <c:pt idx="0">
                  <c:v>BASE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BASE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SLIDER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'17'!$AD$6:$AD$27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0.58333333333333337</c:v>
                </c:pt>
                <c:pt idx="3">
                  <c:v>0.70833333333333337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0.625</c:v>
                </c:pt>
                <c:pt idx="11">
                  <c:v>1</c:v>
                </c:pt>
                <c:pt idx="12">
                  <c:v>0.66882906260136221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0.95833333333333337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F-4AEF-AD36-1C5375E18BC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AF-4AEF-AD36-1C5375E18BC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'17'!$D$6:$D$27</c:f>
              <c:strCache>
                <c:ptCount val="21"/>
                <c:pt idx="0">
                  <c:v>BASE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BASE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SLIDER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'17'!$AE$6:$AE$27</c:f>
              <c:numCache>
                <c:formatCode>0%</c:formatCode>
                <c:ptCount val="22"/>
                <c:pt idx="0">
                  <c:v>0.4224467755727892</c:v>
                </c:pt>
                <c:pt idx="1">
                  <c:v>0.4224467755727892</c:v>
                </c:pt>
                <c:pt idx="2">
                  <c:v>0.4224467755727892</c:v>
                </c:pt>
                <c:pt idx="3">
                  <c:v>0.4224467755727892</c:v>
                </c:pt>
                <c:pt idx="4">
                  <c:v>0.4224467755727892</c:v>
                </c:pt>
                <c:pt idx="5">
                  <c:v>0.4224467755727892</c:v>
                </c:pt>
                <c:pt idx="6">
                  <c:v>0.4224467755727892</c:v>
                </c:pt>
                <c:pt idx="7">
                  <c:v>0.4224467755727892</c:v>
                </c:pt>
                <c:pt idx="8">
                  <c:v>0.4224467755727892</c:v>
                </c:pt>
                <c:pt idx="9">
                  <c:v>0.4224467755727892</c:v>
                </c:pt>
                <c:pt idx="10">
                  <c:v>0.4224467755727892</c:v>
                </c:pt>
                <c:pt idx="11">
                  <c:v>0.4224467755727892</c:v>
                </c:pt>
                <c:pt idx="12">
                  <c:v>0.4224467755727892</c:v>
                </c:pt>
                <c:pt idx="13">
                  <c:v>0.4224467755727892</c:v>
                </c:pt>
                <c:pt idx="14">
                  <c:v>0.4224467755727892</c:v>
                </c:pt>
                <c:pt idx="15">
                  <c:v>0.4224467755727892</c:v>
                </c:pt>
                <c:pt idx="16">
                  <c:v>0.4224467755727892</c:v>
                </c:pt>
                <c:pt idx="17">
                  <c:v>0.4224467755727892</c:v>
                </c:pt>
                <c:pt idx="18">
                  <c:v>0.4224467755727892</c:v>
                </c:pt>
                <c:pt idx="19">
                  <c:v>0.4224467755727892</c:v>
                </c:pt>
                <c:pt idx="20">
                  <c:v>0.4224467755727892</c:v>
                </c:pt>
                <c:pt idx="21">
                  <c:v>0.4224467755727892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F-4AEF-AD36-1C5375E18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'17'!$D$6:$D$27</c:f>
              <c:strCache>
                <c:ptCount val="21"/>
                <c:pt idx="0">
                  <c:v>BASE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BASE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SLIDER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'17'!$L$6:$L$27</c:f>
              <c:numCache>
                <c:formatCode>_(* #,##0_);_(* \(#,##0\);_(* "-"_);_(@_)</c:formatCode>
                <c:ptCount val="22"/>
                <c:pt idx="2">
                  <c:v>5898</c:v>
                </c:pt>
                <c:pt idx="3">
                  <c:v>6366</c:v>
                </c:pt>
                <c:pt idx="5">
                  <c:v>10400</c:v>
                </c:pt>
                <c:pt idx="7">
                  <c:v>11830</c:v>
                </c:pt>
                <c:pt idx="10">
                  <c:v>4588</c:v>
                </c:pt>
                <c:pt idx="11">
                  <c:v>23372</c:v>
                </c:pt>
                <c:pt idx="12">
                  <c:v>6186</c:v>
                </c:pt>
                <c:pt idx="13">
                  <c:v>6870</c:v>
                </c:pt>
                <c:pt idx="14">
                  <c:v>10894</c:v>
                </c:pt>
                <c:pt idx="15">
                  <c:v>55900</c:v>
                </c:pt>
                <c:pt idx="21">
                  <c:v>356070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5-4D71-94ED-2B59E1A9166C}"/>
            </c:ext>
          </c:extLst>
        </c:ser>
        <c:ser>
          <c:idx val="1"/>
          <c:order val="1"/>
          <c:tx>
            <c:v>계획</c:v>
          </c:tx>
          <c:cat>
            <c:strRef>
              <c:f>'17'!$D$6:$D$27</c:f>
              <c:strCache>
                <c:ptCount val="21"/>
                <c:pt idx="0">
                  <c:v>BASE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BASE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SLIDER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'17'!$J$6:$J$27</c:f>
              <c:numCache>
                <c:formatCode>_(* #,##0_);_(* \(#,##0\);_(* "-"_);_(@_)</c:formatCode>
                <c:ptCount val="22"/>
                <c:pt idx="0">
                  <c:v>3080</c:v>
                </c:pt>
                <c:pt idx="1">
                  <c:v>12724</c:v>
                </c:pt>
                <c:pt idx="2">
                  <c:v>5898</c:v>
                </c:pt>
                <c:pt idx="3">
                  <c:v>6366</c:v>
                </c:pt>
                <c:pt idx="4">
                  <c:v>10206</c:v>
                </c:pt>
                <c:pt idx="5">
                  <c:v>10400</c:v>
                </c:pt>
                <c:pt idx="6">
                  <c:v>3156</c:v>
                </c:pt>
                <c:pt idx="7">
                  <c:v>11830</c:v>
                </c:pt>
                <c:pt idx="8">
                  <c:v>608</c:v>
                </c:pt>
                <c:pt idx="9">
                  <c:v>12356</c:v>
                </c:pt>
                <c:pt idx="10">
                  <c:v>4588</c:v>
                </c:pt>
                <c:pt idx="11">
                  <c:v>23372</c:v>
                </c:pt>
                <c:pt idx="12">
                  <c:v>6166</c:v>
                </c:pt>
                <c:pt idx="13">
                  <c:v>6870</c:v>
                </c:pt>
                <c:pt idx="14">
                  <c:v>10894</c:v>
                </c:pt>
                <c:pt idx="15">
                  <c:v>55900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356070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5-4D71-94ED-2B59E1A91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'17'!$AD$6:$AD$27</c:f>
              <c:strCache>
                <c:ptCount val="22"/>
                <c:pt idx="0">
                  <c:v>0%</c:v>
                </c:pt>
                <c:pt idx="1">
                  <c:v>0%</c:v>
                </c:pt>
                <c:pt idx="2">
                  <c:v>58%</c:v>
                </c:pt>
                <c:pt idx="3">
                  <c:v>71%</c:v>
                </c:pt>
                <c:pt idx="4">
                  <c:v>0%</c:v>
                </c:pt>
                <c:pt idx="5">
                  <c:v>100%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63%</c:v>
                </c:pt>
                <c:pt idx="11">
                  <c:v>100%</c:v>
                </c:pt>
                <c:pt idx="12">
                  <c:v>67%</c:v>
                </c:pt>
                <c:pt idx="13">
                  <c:v>75%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96%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'17'!$D$6:$D$27</c:f>
              <c:strCache>
                <c:ptCount val="21"/>
                <c:pt idx="0">
                  <c:v>BASE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BASE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SLIDER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'17'!$AD$6:$AD$27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0.58333333333333337</c:v>
                </c:pt>
                <c:pt idx="3">
                  <c:v>0.70833333333333337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0.625</c:v>
                </c:pt>
                <c:pt idx="11">
                  <c:v>1</c:v>
                </c:pt>
                <c:pt idx="12">
                  <c:v>0.66882906260136221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0.95833333333333337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8-4280-99C5-B42299931CD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F8-4280-99C5-B42299931CD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'17'!$D$6:$D$27</c:f>
              <c:strCache>
                <c:ptCount val="21"/>
                <c:pt idx="0">
                  <c:v>BASE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BASE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SLIDER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'17'!$AE$6:$AE$27</c:f>
              <c:numCache>
                <c:formatCode>0%</c:formatCode>
                <c:ptCount val="22"/>
                <c:pt idx="0">
                  <c:v>0.4224467755727892</c:v>
                </c:pt>
                <c:pt idx="1">
                  <c:v>0.4224467755727892</c:v>
                </c:pt>
                <c:pt idx="2">
                  <c:v>0.4224467755727892</c:v>
                </c:pt>
                <c:pt idx="3">
                  <c:v>0.4224467755727892</c:v>
                </c:pt>
                <c:pt idx="4">
                  <c:v>0.4224467755727892</c:v>
                </c:pt>
                <c:pt idx="5">
                  <c:v>0.4224467755727892</c:v>
                </c:pt>
                <c:pt idx="6">
                  <c:v>0.4224467755727892</c:v>
                </c:pt>
                <c:pt idx="7">
                  <c:v>0.4224467755727892</c:v>
                </c:pt>
                <c:pt idx="8">
                  <c:v>0.4224467755727892</c:v>
                </c:pt>
                <c:pt idx="9">
                  <c:v>0.4224467755727892</c:v>
                </c:pt>
                <c:pt idx="10">
                  <c:v>0.4224467755727892</c:v>
                </c:pt>
                <c:pt idx="11">
                  <c:v>0.4224467755727892</c:v>
                </c:pt>
                <c:pt idx="12">
                  <c:v>0.4224467755727892</c:v>
                </c:pt>
                <c:pt idx="13">
                  <c:v>0.4224467755727892</c:v>
                </c:pt>
                <c:pt idx="14">
                  <c:v>0.4224467755727892</c:v>
                </c:pt>
                <c:pt idx="15">
                  <c:v>0.4224467755727892</c:v>
                </c:pt>
                <c:pt idx="16">
                  <c:v>0.4224467755727892</c:v>
                </c:pt>
                <c:pt idx="17">
                  <c:v>0.4224467755727892</c:v>
                </c:pt>
                <c:pt idx="18">
                  <c:v>0.4224467755727892</c:v>
                </c:pt>
                <c:pt idx="19">
                  <c:v>0.4224467755727892</c:v>
                </c:pt>
                <c:pt idx="20">
                  <c:v>0.4224467755727892</c:v>
                </c:pt>
                <c:pt idx="21">
                  <c:v>0.4224467755727892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8-4280-99C5-B42299931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'03'!$AD$6:$AD$27</c:f>
              <c:strCache>
                <c:ptCount val="22"/>
                <c:pt idx="0">
                  <c:v>100%</c:v>
                </c:pt>
                <c:pt idx="1">
                  <c:v>0%</c:v>
                </c:pt>
                <c:pt idx="2">
                  <c:v>100%</c:v>
                </c:pt>
                <c:pt idx="3">
                  <c:v>75%</c:v>
                </c:pt>
                <c:pt idx="4">
                  <c:v>0%</c:v>
                </c:pt>
                <c:pt idx="5">
                  <c:v>17%</c:v>
                </c:pt>
                <c:pt idx="6">
                  <c:v>100%</c:v>
                </c:pt>
                <c:pt idx="7">
                  <c:v>0%</c:v>
                </c:pt>
                <c:pt idx="8">
                  <c:v>54%</c:v>
                </c:pt>
                <c:pt idx="9">
                  <c:v>0%</c:v>
                </c:pt>
                <c:pt idx="10">
                  <c:v>88%</c:v>
                </c:pt>
                <c:pt idx="11">
                  <c:v>0%</c:v>
                </c:pt>
                <c:pt idx="12">
                  <c:v>100%</c:v>
                </c:pt>
                <c:pt idx="13">
                  <c:v>17%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100%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'03'!$AD$6:$AD$27</c:f>
              <c:numCache>
                <c:formatCode>0%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0.75</c:v>
                </c:pt>
                <c:pt idx="4">
                  <c:v>0</c:v>
                </c:pt>
                <c:pt idx="5">
                  <c:v>0.16666666666666666</c:v>
                </c:pt>
                <c:pt idx="6">
                  <c:v>1</c:v>
                </c:pt>
                <c:pt idx="7">
                  <c:v>0</c:v>
                </c:pt>
                <c:pt idx="8">
                  <c:v>0.54166666666666663</c:v>
                </c:pt>
                <c:pt idx="9">
                  <c:v>0</c:v>
                </c:pt>
                <c:pt idx="10">
                  <c:v>0.875</c:v>
                </c:pt>
                <c:pt idx="11">
                  <c:v>0</c:v>
                </c:pt>
                <c:pt idx="12">
                  <c:v>1</c:v>
                </c:pt>
                <c:pt idx="13">
                  <c:v>0.16666666666666666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1-4D81-8AAE-7F7233DA1AD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F1-4D81-8AAE-7F7233DA1AD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'03'!$AE$6:$AE$27</c:f>
              <c:numCache>
                <c:formatCode>0%</c:formatCode>
                <c:ptCount val="22"/>
                <c:pt idx="0">
                  <c:v>0.43181818181818182</c:v>
                </c:pt>
                <c:pt idx="1">
                  <c:v>0.43181818181818182</c:v>
                </c:pt>
                <c:pt idx="2">
                  <c:v>0.43181818181818182</c:v>
                </c:pt>
                <c:pt idx="3">
                  <c:v>0.43181818181818182</c:v>
                </c:pt>
                <c:pt idx="4">
                  <c:v>0.43181818181818182</c:v>
                </c:pt>
                <c:pt idx="5">
                  <c:v>0.43181818181818182</c:v>
                </c:pt>
                <c:pt idx="6">
                  <c:v>0.43181818181818182</c:v>
                </c:pt>
                <c:pt idx="7">
                  <c:v>0.43181818181818182</c:v>
                </c:pt>
                <c:pt idx="8">
                  <c:v>0.43181818181818182</c:v>
                </c:pt>
                <c:pt idx="9">
                  <c:v>0.43181818181818182</c:v>
                </c:pt>
                <c:pt idx="10">
                  <c:v>0.43181818181818182</c:v>
                </c:pt>
                <c:pt idx="11">
                  <c:v>0.43181818181818182</c:v>
                </c:pt>
                <c:pt idx="12">
                  <c:v>0.43181818181818182</c:v>
                </c:pt>
                <c:pt idx="13">
                  <c:v>0.43181818181818182</c:v>
                </c:pt>
                <c:pt idx="14">
                  <c:v>0.43181818181818182</c:v>
                </c:pt>
                <c:pt idx="15">
                  <c:v>0.43181818181818182</c:v>
                </c:pt>
                <c:pt idx="16">
                  <c:v>0.43181818181818182</c:v>
                </c:pt>
                <c:pt idx="17">
                  <c:v>0.43181818181818182</c:v>
                </c:pt>
                <c:pt idx="18">
                  <c:v>0.43181818181818182</c:v>
                </c:pt>
                <c:pt idx="19">
                  <c:v>0.43181818181818182</c:v>
                </c:pt>
                <c:pt idx="20">
                  <c:v>0.43181818181818182</c:v>
                </c:pt>
                <c:pt idx="21">
                  <c:v>0.43181818181818182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1-4D81-8AAE-7F7233DA1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C89-4645-A114-DA9B4F62EE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9-4645-A114-DA9B4F62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C89-4645-A114-DA9B4F62EE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9-4645-A114-DA9B4F62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'18'!$D$6:$D$27</c:f>
              <c:strCache>
                <c:ptCount val="21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'18'!$L$6:$L$27</c:f>
              <c:numCache>
                <c:formatCode>_(* #,##0_);_(* \(#,##0\);_(* "-"_);_(@_)</c:formatCode>
                <c:ptCount val="22"/>
                <c:pt idx="0">
                  <c:v>600</c:v>
                </c:pt>
                <c:pt idx="1">
                  <c:v>4540</c:v>
                </c:pt>
                <c:pt idx="2">
                  <c:v>11758</c:v>
                </c:pt>
                <c:pt idx="3">
                  <c:v>11696</c:v>
                </c:pt>
                <c:pt idx="6">
                  <c:v>8174</c:v>
                </c:pt>
                <c:pt idx="7">
                  <c:v>12272</c:v>
                </c:pt>
                <c:pt idx="10">
                  <c:v>3700</c:v>
                </c:pt>
                <c:pt idx="11">
                  <c:v>24388</c:v>
                </c:pt>
                <c:pt idx="12">
                  <c:v>11446</c:v>
                </c:pt>
                <c:pt idx="13">
                  <c:v>6196</c:v>
                </c:pt>
                <c:pt idx="14">
                  <c:v>0</c:v>
                </c:pt>
                <c:pt idx="15">
                  <c:v>61924</c:v>
                </c:pt>
                <c:pt idx="21">
                  <c:v>486150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E-4807-89D5-EB44DE499902}"/>
            </c:ext>
          </c:extLst>
        </c:ser>
        <c:ser>
          <c:idx val="1"/>
          <c:order val="1"/>
          <c:tx>
            <c:v>계획</c:v>
          </c:tx>
          <c:cat>
            <c:strRef>
              <c:f>'18'!$D$6:$D$27</c:f>
              <c:strCache>
                <c:ptCount val="21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'18'!$J$6:$J$27</c:f>
              <c:numCache>
                <c:formatCode>_(* #,##0_);_(* \(#,##0\);_(* "-"_);_(@_)</c:formatCode>
                <c:ptCount val="22"/>
                <c:pt idx="0">
                  <c:v>600</c:v>
                </c:pt>
                <c:pt idx="1">
                  <c:v>4540</c:v>
                </c:pt>
                <c:pt idx="2">
                  <c:v>11758</c:v>
                </c:pt>
                <c:pt idx="3">
                  <c:v>11696</c:v>
                </c:pt>
                <c:pt idx="4">
                  <c:v>10206</c:v>
                </c:pt>
                <c:pt idx="5">
                  <c:v>10400</c:v>
                </c:pt>
                <c:pt idx="6">
                  <c:v>8174</c:v>
                </c:pt>
                <c:pt idx="7">
                  <c:v>12272</c:v>
                </c:pt>
                <c:pt idx="8">
                  <c:v>608</c:v>
                </c:pt>
                <c:pt idx="9">
                  <c:v>12356</c:v>
                </c:pt>
                <c:pt idx="10">
                  <c:v>3700</c:v>
                </c:pt>
                <c:pt idx="11">
                  <c:v>24388</c:v>
                </c:pt>
                <c:pt idx="12">
                  <c:v>11446</c:v>
                </c:pt>
                <c:pt idx="13">
                  <c:v>6196</c:v>
                </c:pt>
                <c:pt idx="14">
                  <c:v>10894</c:v>
                </c:pt>
                <c:pt idx="15">
                  <c:v>61924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486150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E-4807-89D5-EB44DE499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'18'!$AD$6:$AD$27</c:f>
              <c:strCache>
                <c:ptCount val="22"/>
                <c:pt idx="0">
                  <c:v>17%</c:v>
                </c:pt>
                <c:pt idx="1">
                  <c:v>46%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0%</c:v>
                </c:pt>
                <c:pt idx="6">
                  <c:v>88%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75%</c:v>
                </c:pt>
                <c:pt idx="11">
                  <c:v>100%</c:v>
                </c:pt>
                <c:pt idx="12">
                  <c:v>100%</c:v>
                </c:pt>
                <c:pt idx="13">
                  <c:v>58%</c:v>
                </c:pt>
                <c:pt idx="14">
                  <c:v>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'18'!$D$6:$D$27</c:f>
              <c:strCache>
                <c:ptCount val="21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'18'!$AD$6:$AD$27</c:f>
              <c:numCache>
                <c:formatCode>0%</c:formatCode>
                <c:ptCount val="22"/>
                <c:pt idx="0">
                  <c:v>0.16666666666666666</c:v>
                </c:pt>
                <c:pt idx="1">
                  <c:v>0.45833333333333331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0.875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0.75</c:v>
                </c:pt>
                <c:pt idx="11">
                  <c:v>1</c:v>
                </c:pt>
                <c:pt idx="12">
                  <c:v>1</c:v>
                </c:pt>
                <c:pt idx="13">
                  <c:v>0.58333333333333337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7-4D8F-913E-CE9292C0DCF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47-4D8F-913E-CE9292C0DC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'18'!$D$6:$D$27</c:f>
              <c:strCache>
                <c:ptCount val="21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'18'!$AE$6:$AE$27</c:f>
              <c:numCache>
                <c:formatCode>0%</c:formatCode>
                <c:ptCount val="22"/>
                <c:pt idx="0">
                  <c:v>0.44696969696969691</c:v>
                </c:pt>
                <c:pt idx="1">
                  <c:v>0.44696969696969691</c:v>
                </c:pt>
                <c:pt idx="2">
                  <c:v>0.44696969696969691</c:v>
                </c:pt>
                <c:pt idx="3">
                  <c:v>0.44696969696969691</c:v>
                </c:pt>
                <c:pt idx="4">
                  <c:v>0.44696969696969691</c:v>
                </c:pt>
                <c:pt idx="5">
                  <c:v>0.44696969696969691</c:v>
                </c:pt>
                <c:pt idx="6">
                  <c:v>0.44696969696969691</c:v>
                </c:pt>
                <c:pt idx="7">
                  <c:v>0.44696969696969691</c:v>
                </c:pt>
                <c:pt idx="8">
                  <c:v>0.44696969696969691</c:v>
                </c:pt>
                <c:pt idx="9">
                  <c:v>0.44696969696969691</c:v>
                </c:pt>
                <c:pt idx="10">
                  <c:v>0.44696969696969691</c:v>
                </c:pt>
                <c:pt idx="11">
                  <c:v>0.44696969696969691</c:v>
                </c:pt>
                <c:pt idx="12">
                  <c:v>0.44696969696969691</c:v>
                </c:pt>
                <c:pt idx="13">
                  <c:v>0.44696969696969691</c:v>
                </c:pt>
                <c:pt idx="14">
                  <c:v>0.44696969696969691</c:v>
                </c:pt>
                <c:pt idx="15">
                  <c:v>0.44696969696969691</c:v>
                </c:pt>
                <c:pt idx="16">
                  <c:v>0.44696969696969691</c:v>
                </c:pt>
                <c:pt idx="17">
                  <c:v>0.44696969696969691</c:v>
                </c:pt>
                <c:pt idx="18">
                  <c:v>0.44696969696969691</c:v>
                </c:pt>
                <c:pt idx="19">
                  <c:v>0.44696969696969691</c:v>
                </c:pt>
                <c:pt idx="20">
                  <c:v>0.44696969696969691</c:v>
                </c:pt>
                <c:pt idx="21">
                  <c:v>0.44696969696969691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47-4D8F-913E-CE9292C0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'18'!$D$6:$D$27</c:f>
              <c:strCache>
                <c:ptCount val="21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'18'!$L$6:$L$27</c:f>
              <c:numCache>
                <c:formatCode>_(* #,##0_);_(* \(#,##0\);_(* "-"_);_(@_)</c:formatCode>
                <c:ptCount val="22"/>
                <c:pt idx="0">
                  <c:v>600</c:v>
                </c:pt>
                <c:pt idx="1">
                  <c:v>4540</c:v>
                </c:pt>
                <c:pt idx="2">
                  <c:v>11758</c:v>
                </c:pt>
                <c:pt idx="3">
                  <c:v>11696</c:v>
                </c:pt>
                <c:pt idx="6">
                  <c:v>8174</c:v>
                </c:pt>
                <c:pt idx="7">
                  <c:v>12272</c:v>
                </c:pt>
                <c:pt idx="10">
                  <c:v>3700</c:v>
                </c:pt>
                <c:pt idx="11">
                  <c:v>24388</c:v>
                </c:pt>
                <c:pt idx="12">
                  <c:v>11446</c:v>
                </c:pt>
                <c:pt idx="13">
                  <c:v>6196</c:v>
                </c:pt>
                <c:pt idx="14">
                  <c:v>0</c:v>
                </c:pt>
                <c:pt idx="15">
                  <c:v>61924</c:v>
                </c:pt>
                <c:pt idx="21">
                  <c:v>486150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B-4069-80B5-46CD9CFBFB90}"/>
            </c:ext>
          </c:extLst>
        </c:ser>
        <c:ser>
          <c:idx val="1"/>
          <c:order val="1"/>
          <c:tx>
            <c:v>계획</c:v>
          </c:tx>
          <c:cat>
            <c:strRef>
              <c:f>'18'!$D$6:$D$27</c:f>
              <c:strCache>
                <c:ptCount val="21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'18'!$J$6:$J$27</c:f>
              <c:numCache>
                <c:formatCode>_(* #,##0_);_(* \(#,##0\);_(* "-"_);_(@_)</c:formatCode>
                <c:ptCount val="22"/>
                <c:pt idx="0">
                  <c:v>600</c:v>
                </c:pt>
                <c:pt idx="1">
                  <c:v>4540</c:v>
                </c:pt>
                <c:pt idx="2">
                  <c:v>11758</c:v>
                </c:pt>
                <c:pt idx="3">
                  <c:v>11696</c:v>
                </c:pt>
                <c:pt idx="4">
                  <c:v>10206</c:v>
                </c:pt>
                <c:pt idx="5">
                  <c:v>10400</c:v>
                </c:pt>
                <c:pt idx="6">
                  <c:v>8174</c:v>
                </c:pt>
                <c:pt idx="7">
                  <c:v>12272</c:v>
                </c:pt>
                <c:pt idx="8">
                  <c:v>608</c:v>
                </c:pt>
                <c:pt idx="9">
                  <c:v>12356</c:v>
                </c:pt>
                <c:pt idx="10">
                  <c:v>3700</c:v>
                </c:pt>
                <c:pt idx="11">
                  <c:v>24388</c:v>
                </c:pt>
                <c:pt idx="12">
                  <c:v>11446</c:v>
                </c:pt>
                <c:pt idx="13">
                  <c:v>6196</c:v>
                </c:pt>
                <c:pt idx="14">
                  <c:v>10894</c:v>
                </c:pt>
                <c:pt idx="15">
                  <c:v>61924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486150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B-4069-80B5-46CD9CFBF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'18'!$AD$6:$AD$27</c:f>
              <c:strCache>
                <c:ptCount val="22"/>
                <c:pt idx="0">
                  <c:v>17%</c:v>
                </c:pt>
                <c:pt idx="1">
                  <c:v>46%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0%</c:v>
                </c:pt>
                <c:pt idx="6">
                  <c:v>88%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75%</c:v>
                </c:pt>
                <c:pt idx="11">
                  <c:v>100%</c:v>
                </c:pt>
                <c:pt idx="12">
                  <c:v>100%</c:v>
                </c:pt>
                <c:pt idx="13">
                  <c:v>58%</c:v>
                </c:pt>
                <c:pt idx="14">
                  <c:v>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'18'!$D$6:$D$27</c:f>
              <c:strCache>
                <c:ptCount val="21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'18'!$AD$6:$AD$27</c:f>
              <c:numCache>
                <c:formatCode>0%</c:formatCode>
                <c:ptCount val="22"/>
                <c:pt idx="0">
                  <c:v>0.16666666666666666</c:v>
                </c:pt>
                <c:pt idx="1">
                  <c:v>0.45833333333333331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0.875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0.75</c:v>
                </c:pt>
                <c:pt idx="11">
                  <c:v>1</c:v>
                </c:pt>
                <c:pt idx="12">
                  <c:v>1</c:v>
                </c:pt>
                <c:pt idx="13">
                  <c:v>0.58333333333333337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F-425F-B4C1-22D1FEBAA15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4F-425F-B4C1-22D1FEBAA1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'18'!$D$6:$D$27</c:f>
              <c:strCache>
                <c:ptCount val="21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'18'!$AE$6:$AE$27</c:f>
              <c:numCache>
                <c:formatCode>0%</c:formatCode>
                <c:ptCount val="22"/>
                <c:pt idx="0">
                  <c:v>0.44696969696969691</c:v>
                </c:pt>
                <c:pt idx="1">
                  <c:v>0.44696969696969691</c:v>
                </c:pt>
                <c:pt idx="2">
                  <c:v>0.44696969696969691</c:v>
                </c:pt>
                <c:pt idx="3">
                  <c:v>0.44696969696969691</c:v>
                </c:pt>
                <c:pt idx="4">
                  <c:v>0.44696969696969691</c:v>
                </c:pt>
                <c:pt idx="5">
                  <c:v>0.44696969696969691</c:v>
                </c:pt>
                <c:pt idx="6">
                  <c:v>0.44696969696969691</c:v>
                </c:pt>
                <c:pt idx="7">
                  <c:v>0.44696969696969691</c:v>
                </c:pt>
                <c:pt idx="8">
                  <c:v>0.44696969696969691</c:v>
                </c:pt>
                <c:pt idx="9">
                  <c:v>0.44696969696969691</c:v>
                </c:pt>
                <c:pt idx="10">
                  <c:v>0.44696969696969691</c:v>
                </c:pt>
                <c:pt idx="11">
                  <c:v>0.44696969696969691</c:v>
                </c:pt>
                <c:pt idx="12">
                  <c:v>0.44696969696969691</c:v>
                </c:pt>
                <c:pt idx="13">
                  <c:v>0.44696969696969691</c:v>
                </c:pt>
                <c:pt idx="14">
                  <c:v>0.44696969696969691</c:v>
                </c:pt>
                <c:pt idx="15">
                  <c:v>0.44696969696969691</c:v>
                </c:pt>
                <c:pt idx="16">
                  <c:v>0.44696969696969691</c:v>
                </c:pt>
                <c:pt idx="17">
                  <c:v>0.44696969696969691</c:v>
                </c:pt>
                <c:pt idx="18">
                  <c:v>0.44696969696969691</c:v>
                </c:pt>
                <c:pt idx="19">
                  <c:v>0.44696969696969691</c:v>
                </c:pt>
                <c:pt idx="20">
                  <c:v>0.44696969696969691</c:v>
                </c:pt>
                <c:pt idx="21">
                  <c:v>0.44696969696969691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F-425F-B4C1-22D1FEBAA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639-4CC2-B588-D7A188565B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9-4CC2-B588-D7A188565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639-4CC2-B588-D7A188565B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9-4CC2-B588-D7A188565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'19'!$D$6:$D$28</c:f>
              <c:strCache>
                <c:ptCount val="22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LATCH</c:v>
                </c:pt>
                <c:pt idx="6">
                  <c:v>BASE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ACTUATOR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'19'!$L$6:$L$28</c:f>
              <c:numCache>
                <c:formatCode>_(* #,##0_);_(* \(#,##0\);_(* "-"_);_(@_)</c:formatCode>
                <c:ptCount val="23"/>
                <c:pt idx="1">
                  <c:v>5413</c:v>
                </c:pt>
                <c:pt idx="2">
                  <c:v>11820</c:v>
                </c:pt>
                <c:pt idx="3">
                  <c:v>11770</c:v>
                </c:pt>
                <c:pt idx="5">
                  <c:v>1220</c:v>
                </c:pt>
                <c:pt idx="6">
                  <c:v>4093</c:v>
                </c:pt>
                <c:pt idx="7">
                  <c:v>10376</c:v>
                </c:pt>
                <c:pt idx="8">
                  <c:v>12308</c:v>
                </c:pt>
                <c:pt idx="12">
                  <c:v>12904</c:v>
                </c:pt>
                <c:pt idx="13">
                  <c:v>8364</c:v>
                </c:pt>
                <c:pt idx="14">
                  <c:v>611</c:v>
                </c:pt>
                <c:pt idx="15">
                  <c:v>7459</c:v>
                </c:pt>
                <c:pt idx="16">
                  <c:v>62232</c:v>
                </c:pt>
                <c:pt idx="22">
                  <c:v>492600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9-4295-8C60-EDB7B560BACD}"/>
            </c:ext>
          </c:extLst>
        </c:ser>
        <c:ser>
          <c:idx val="1"/>
          <c:order val="1"/>
          <c:tx>
            <c:v>계획</c:v>
          </c:tx>
          <c:cat>
            <c:strRef>
              <c:f>'19'!$D$6:$D$28</c:f>
              <c:strCache>
                <c:ptCount val="22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LATCH</c:v>
                </c:pt>
                <c:pt idx="6">
                  <c:v>BASE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ACTUATOR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'19'!$J$6:$J$28</c:f>
              <c:numCache>
                <c:formatCode>_(* #,##0_);_(* \(#,##0\);_(* "-"_);_(@_)</c:formatCode>
                <c:ptCount val="23"/>
                <c:pt idx="0">
                  <c:v>600</c:v>
                </c:pt>
                <c:pt idx="1">
                  <c:v>5413</c:v>
                </c:pt>
                <c:pt idx="2">
                  <c:v>11820</c:v>
                </c:pt>
                <c:pt idx="3">
                  <c:v>11770</c:v>
                </c:pt>
                <c:pt idx="4">
                  <c:v>10206</c:v>
                </c:pt>
                <c:pt idx="5">
                  <c:v>1220</c:v>
                </c:pt>
                <c:pt idx="6">
                  <c:v>4093</c:v>
                </c:pt>
                <c:pt idx="7">
                  <c:v>10376</c:v>
                </c:pt>
                <c:pt idx="8">
                  <c:v>12308</c:v>
                </c:pt>
                <c:pt idx="9">
                  <c:v>608</c:v>
                </c:pt>
                <c:pt idx="10">
                  <c:v>12356</c:v>
                </c:pt>
                <c:pt idx="11">
                  <c:v>3700</c:v>
                </c:pt>
                <c:pt idx="12">
                  <c:v>12904</c:v>
                </c:pt>
                <c:pt idx="13">
                  <c:v>8364</c:v>
                </c:pt>
                <c:pt idx="14">
                  <c:v>611</c:v>
                </c:pt>
                <c:pt idx="15">
                  <c:v>7459</c:v>
                </c:pt>
                <c:pt idx="16">
                  <c:v>62232</c:v>
                </c:pt>
                <c:pt idx="17">
                  <c:v>0</c:v>
                </c:pt>
                <c:pt idx="18">
                  <c:v>0</c:v>
                </c:pt>
                <c:pt idx="19">
                  <c:v>3244</c:v>
                </c:pt>
                <c:pt idx="20">
                  <c:v>9988</c:v>
                </c:pt>
                <c:pt idx="21">
                  <c:v>11600</c:v>
                </c:pt>
                <c:pt idx="22">
                  <c:v>492600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9-4295-8C60-EDB7B560B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'19'!$AD$6:$AD$28</c:f>
              <c:strCache>
                <c:ptCount val="23"/>
                <c:pt idx="0">
                  <c:v>0%</c:v>
                </c:pt>
                <c:pt idx="1">
                  <c:v>88%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17%</c:v>
                </c:pt>
                <c:pt idx="6">
                  <c:v>75%</c:v>
                </c:pt>
                <c:pt idx="7">
                  <c:v>100%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54%</c:v>
                </c:pt>
                <c:pt idx="13">
                  <c:v>75%</c:v>
                </c:pt>
                <c:pt idx="14">
                  <c:v>58%</c:v>
                </c:pt>
                <c:pt idx="15">
                  <c:v>83%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'19'!$D$6:$D$28</c:f>
              <c:strCache>
                <c:ptCount val="22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LATCH</c:v>
                </c:pt>
                <c:pt idx="6">
                  <c:v>BASE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ACTUATOR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'19'!$AD$6:$AD$28</c:f>
              <c:numCache>
                <c:formatCode>0%</c:formatCode>
                <c:ptCount val="23"/>
                <c:pt idx="0">
                  <c:v>0</c:v>
                </c:pt>
                <c:pt idx="1">
                  <c:v>0.875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0.16666666666666666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0.54166666666666663</c:v>
                </c:pt>
                <c:pt idx="13">
                  <c:v>0.75</c:v>
                </c:pt>
                <c:pt idx="14">
                  <c:v>0.58333333333333337</c:v>
                </c:pt>
                <c:pt idx="15">
                  <c:v>0.83333333333333337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5-4AFE-A902-62170CE0FAB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55-4AFE-A902-62170CE0FAB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'19'!$D$6:$D$28</c:f>
              <c:strCache>
                <c:ptCount val="22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LATCH</c:v>
                </c:pt>
                <c:pt idx="6">
                  <c:v>BASE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ACTUATOR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'19'!$AE$6:$AE$28</c:f>
              <c:numCache>
                <c:formatCode>0%</c:formatCode>
                <c:ptCount val="23"/>
                <c:pt idx="0">
                  <c:v>0.45652173913043476</c:v>
                </c:pt>
                <c:pt idx="1">
                  <c:v>0.45652173913043476</c:v>
                </c:pt>
                <c:pt idx="2">
                  <c:v>0.45652173913043476</c:v>
                </c:pt>
                <c:pt idx="3">
                  <c:v>0.45652173913043476</c:v>
                </c:pt>
                <c:pt idx="4">
                  <c:v>0.45652173913043476</c:v>
                </c:pt>
                <c:pt idx="5">
                  <c:v>0.45652173913043476</c:v>
                </c:pt>
                <c:pt idx="6">
                  <c:v>0.45652173913043476</c:v>
                </c:pt>
                <c:pt idx="7">
                  <c:v>0.45652173913043476</c:v>
                </c:pt>
                <c:pt idx="8">
                  <c:v>0.45652173913043476</c:v>
                </c:pt>
                <c:pt idx="9">
                  <c:v>0.45652173913043476</c:v>
                </c:pt>
                <c:pt idx="10">
                  <c:v>0.45652173913043476</c:v>
                </c:pt>
                <c:pt idx="11">
                  <c:v>0.45652173913043476</c:v>
                </c:pt>
                <c:pt idx="12">
                  <c:v>0.45652173913043476</c:v>
                </c:pt>
                <c:pt idx="13">
                  <c:v>0.45652173913043476</c:v>
                </c:pt>
                <c:pt idx="14">
                  <c:v>0.45652173913043476</c:v>
                </c:pt>
                <c:pt idx="15">
                  <c:v>0.45652173913043476</c:v>
                </c:pt>
                <c:pt idx="16">
                  <c:v>0.45652173913043476</c:v>
                </c:pt>
                <c:pt idx="17">
                  <c:v>0.45652173913043476</c:v>
                </c:pt>
                <c:pt idx="18">
                  <c:v>0.45652173913043476</c:v>
                </c:pt>
                <c:pt idx="19">
                  <c:v>0.45652173913043476</c:v>
                </c:pt>
                <c:pt idx="20">
                  <c:v>0.45652173913043476</c:v>
                </c:pt>
                <c:pt idx="21">
                  <c:v>0.45652173913043476</c:v>
                </c:pt>
                <c:pt idx="22">
                  <c:v>0.45652173913043476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5-4AFE-A902-62170CE0F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'19'!$D$6:$D$28</c:f>
              <c:strCache>
                <c:ptCount val="22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LATCH</c:v>
                </c:pt>
                <c:pt idx="6">
                  <c:v>BASE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ACTUATOR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'19'!$L$6:$L$28</c:f>
              <c:numCache>
                <c:formatCode>_(* #,##0_);_(* \(#,##0\);_(* "-"_);_(@_)</c:formatCode>
                <c:ptCount val="23"/>
                <c:pt idx="1">
                  <c:v>5413</c:v>
                </c:pt>
                <c:pt idx="2">
                  <c:v>11820</c:v>
                </c:pt>
                <c:pt idx="3">
                  <c:v>11770</c:v>
                </c:pt>
                <c:pt idx="5">
                  <c:v>1220</c:v>
                </c:pt>
                <c:pt idx="6">
                  <c:v>4093</c:v>
                </c:pt>
                <c:pt idx="7">
                  <c:v>10376</c:v>
                </c:pt>
                <c:pt idx="8">
                  <c:v>12308</c:v>
                </c:pt>
                <c:pt idx="12">
                  <c:v>12904</c:v>
                </c:pt>
                <c:pt idx="13">
                  <c:v>8364</c:v>
                </c:pt>
                <c:pt idx="14">
                  <c:v>611</c:v>
                </c:pt>
                <c:pt idx="15">
                  <c:v>7459</c:v>
                </c:pt>
                <c:pt idx="16">
                  <c:v>62232</c:v>
                </c:pt>
                <c:pt idx="22">
                  <c:v>492600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2-409F-B1AF-B8A3A7FFF6E0}"/>
            </c:ext>
          </c:extLst>
        </c:ser>
        <c:ser>
          <c:idx val="1"/>
          <c:order val="1"/>
          <c:tx>
            <c:v>계획</c:v>
          </c:tx>
          <c:cat>
            <c:strRef>
              <c:f>'19'!$D$6:$D$28</c:f>
              <c:strCache>
                <c:ptCount val="22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LATCH</c:v>
                </c:pt>
                <c:pt idx="6">
                  <c:v>BASE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ACTUATOR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'19'!$J$6:$J$28</c:f>
              <c:numCache>
                <c:formatCode>_(* #,##0_);_(* \(#,##0\);_(* "-"_);_(@_)</c:formatCode>
                <c:ptCount val="23"/>
                <c:pt idx="0">
                  <c:v>600</c:v>
                </c:pt>
                <c:pt idx="1">
                  <c:v>5413</c:v>
                </c:pt>
                <c:pt idx="2">
                  <c:v>11820</c:v>
                </c:pt>
                <c:pt idx="3">
                  <c:v>11770</c:v>
                </c:pt>
                <c:pt idx="4">
                  <c:v>10206</c:v>
                </c:pt>
                <c:pt idx="5">
                  <c:v>1220</c:v>
                </c:pt>
                <c:pt idx="6">
                  <c:v>4093</c:v>
                </c:pt>
                <c:pt idx="7">
                  <c:v>10376</c:v>
                </c:pt>
                <c:pt idx="8">
                  <c:v>12308</c:v>
                </c:pt>
                <c:pt idx="9">
                  <c:v>608</c:v>
                </c:pt>
                <c:pt idx="10">
                  <c:v>12356</c:v>
                </c:pt>
                <c:pt idx="11">
                  <c:v>3700</c:v>
                </c:pt>
                <c:pt idx="12">
                  <c:v>12904</c:v>
                </c:pt>
                <c:pt idx="13">
                  <c:v>8364</c:v>
                </c:pt>
                <c:pt idx="14">
                  <c:v>611</c:v>
                </c:pt>
                <c:pt idx="15">
                  <c:v>7459</c:v>
                </c:pt>
                <c:pt idx="16">
                  <c:v>62232</c:v>
                </c:pt>
                <c:pt idx="17">
                  <c:v>0</c:v>
                </c:pt>
                <c:pt idx="18">
                  <c:v>0</c:v>
                </c:pt>
                <c:pt idx="19">
                  <c:v>3244</c:v>
                </c:pt>
                <c:pt idx="20">
                  <c:v>9988</c:v>
                </c:pt>
                <c:pt idx="21">
                  <c:v>11600</c:v>
                </c:pt>
                <c:pt idx="22">
                  <c:v>492600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2-409F-B1AF-B8A3A7FF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'19'!$AD$6:$AD$28</c:f>
              <c:strCache>
                <c:ptCount val="23"/>
                <c:pt idx="0">
                  <c:v>0%</c:v>
                </c:pt>
                <c:pt idx="1">
                  <c:v>88%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17%</c:v>
                </c:pt>
                <c:pt idx="6">
                  <c:v>75%</c:v>
                </c:pt>
                <c:pt idx="7">
                  <c:v>100%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54%</c:v>
                </c:pt>
                <c:pt idx="13">
                  <c:v>75%</c:v>
                </c:pt>
                <c:pt idx="14">
                  <c:v>58%</c:v>
                </c:pt>
                <c:pt idx="15">
                  <c:v>83%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'19'!$D$6:$D$28</c:f>
              <c:strCache>
                <c:ptCount val="22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LATCH</c:v>
                </c:pt>
                <c:pt idx="6">
                  <c:v>BASE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ACTUATOR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'19'!$AD$6:$AD$28</c:f>
              <c:numCache>
                <c:formatCode>0%</c:formatCode>
                <c:ptCount val="23"/>
                <c:pt idx="0">
                  <c:v>0</c:v>
                </c:pt>
                <c:pt idx="1">
                  <c:v>0.875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0.16666666666666666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0.54166666666666663</c:v>
                </c:pt>
                <c:pt idx="13">
                  <c:v>0.75</c:v>
                </c:pt>
                <c:pt idx="14">
                  <c:v>0.58333333333333337</c:v>
                </c:pt>
                <c:pt idx="15">
                  <c:v>0.83333333333333337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C-43C5-B106-917603C8A5A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5C-43C5-B106-917603C8A5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'19'!$D$6:$D$28</c:f>
              <c:strCache>
                <c:ptCount val="22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LATCH</c:v>
                </c:pt>
                <c:pt idx="6">
                  <c:v>BASE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ACTUATOR</c:v>
                </c:pt>
                <c:pt idx="13">
                  <c:v>ACTUATOR</c:v>
                </c:pt>
                <c:pt idx="14">
                  <c:v>BASE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'19'!$AE$6:$AE$28</c:f>
              <c:numCache>
                <c:formatCode>0%</c:formatCode>
                <c:ptCount val="23"/>
                <c:pt idx="0">
                  <c:v>0.45652173913043476</c:v>
                </c:pt>
                <c:pt idx="1">
                  <c:v>0.45652173913043476</c:v>
                </c:pt>
                <c:pt idx="2">
                  <c:v>0.45652173913043476</c:v>
                </c:pt>
                <c:pt idx="3">
                  <c:v>0.45652173913043476</c:v>
                </c:pt>
                <c:pt idx="4">
                  <c:v>0.45652173913043476</c:v>
                </c:pt>
                <c:pt idx="5">
                  <c:v>0.45652173913043476</c:v>
                </c:pt>
                <c:pt idx="6">
                  <c:v>0.45652173913043476</c:v>
                </c:pt>
                <c:pt idx="7">
                  <c:v>0.45652173913043476</c:v>
                </c:pt>
                <c:pt idx="8">
                  <c:v>0.45652173913043476</c:v>
                </c:pt>
                <c:pt idx="9">
                  <c:v>0.45652173913043476</c:v>
                </c:pt>
                <c:pt idx="10">
                  <c:v>0.45652173913043476</c:v>
                </c:pt>
                <c:pt idx="11">
                  <c:v>0.45652173913043476</c:v>
                </c:pt>
                <c:pt idx="12">
                  <c:v>0.45652173913043476</c:v>
                </c:pt>
                <c:pt idx="13">
                  <c:v>0.45652173913043476</c:v>
                </c:pt>
                <c:pt idx="14">
                  <c:v>0.45652173913043476</c:v>
                </c:pt>
                <c:pt idx="15">
                  <c:v>0.45652173913043476</c:v>
                </c:pt>
                <c:pt idx="16">
                  <c:v>0.45652173913043476</c:v>
                </c:pt>
                <c:pt idx="17">
                  <c:v>0.45652173913043476</c:v>
                </c:pt>
                <c:pt idx="18">
                  <c:v>0.45652173913043476</c:v>
                </c:pt>
                <c:pt idx="19">
                  <c:v>0.45652173913043476</c:v>
                </c:pt>
                <c:pt idx="20">
                  <c:v>0.45652173913043476</c:v>
                </c:pt>
                <c:pt idx="21">
                  <c:v>0.45652173913043476</c:v>
                </c:pt>
                <c:pt idx="22">
                  <c:v>0.45652173913043476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C-43C5-B106-917603C8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'03'!$L$6:$L$27</c:f>
              <c:numCache>
                <c:formatCode>_(* #,##0_);_(* \(#,##0\);_(* "-"_);_(@_)</c:formatCode>
                <c:ptCount val="22"/>
                <c:pt idx="0">
                  <c:v>10978</c:v>
                </c:pt>
                <c:pt idx="2">
                  <c:v>6168</c:v>
                </c:pt>
                <c:pt idx="3">
                  <c:v>3449</c:v>
                </c:pt>
                <c:pt idx="5">
                  <c:v>117</c:v>
                </c:pt>
                <c:pt idx="6">
                  <c:v>5297</c:v>
                </c:pt>
                <c:pt idx="8">
                  <c:v>608</c:v>
                </c:pt>
                <c:pt idx="10">
                  <c:v>10666</c:v>
                </c:pt>
                <c:pt idx="12">
                  <c:v>11100</c:v>
                </c:pt>
                <c:pt idx="13">
                  <c:v>330</c:v>
                </c:pt>
                <c:pt idx="14">
                  <c:v>10216</c:v>
                </c:pt>
                <c:pt idx="15">
                  <c:v>56468</c:v>
                </c:pt>
                <c:pt idx="18">
                  <c:v>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6-4209-8CAF-17F6B12DF42E}"/>
            </c:ext>
          </c:extLst>
        </c:ser>
        <c:ser>
          <c:idx val="1"/>
          <c:order val="1"/>
          <c:tx>
            <c:v>계획</c:v>
          </c:tx>
          <c:cat>
            <c:strRef>
              <c:f>'03'!$D$6:$D$27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'03'!$J$6:$J$27</c:f>
              <c:numCache>
                <c:formatCode>_(* #,##0_);_(* \(#,##0\);_(* "-"_);_(@_)</c:formatCode>
                <c:ptCount val="22"/>
                <c:pt idx="0">
                  <c:v>10978</c:v>
                </c:pt>
                <c:pt idx="1">
                  <c:v>1500</c:v>
                </c:pt>
                <c:pt idx="2">
                  <c:v>6168</c:v>
                </c:pt>
                <c:pt idx="3">
                  <c:v>3449</c:v>
                </c:pt>
                <c:pt idx="4">
                  <c:v>10206</c:v>
                </c:pt>
                <c:pt idx="5">
                  <c:v>117</c:v>
                </c:pt>
                <c:pt idx="6">
                  <c:v>5297</c:v>
                </c:pt>
                <c:pt idx="7">
                  <c:v>3204</c:v>
                </c:pt>
                <c:pt idx="8">
                  <c:v>608</c:v>
                </c:pt>
                <c:pt idx="9">
                  <c:v>12356</c:v>
                </c:pt>
                <c:pt idx="10">
                  <c:v>10666</c:v>
                </c:pt>
                <c:pt idx="11">
                  <c:v>1472</c:v>
                </c:pt>
                <c:pt idx="12">
                  <c:v>11100</c:v>
                </c:pt>
                <c:pt idx="13">
                  <c:v>330</c:v>
                </c:pt>
                <c:pt idx="14">
                  <c:v>10216</c:v>
                </c:pt>
                <c:pt idx="15">
                  <c:v>56468</c:v>
                </c:pt>
                <c:pt idx="16">
                  <c:v>0</c:v>
                </c:pt>
                <c:pt idx="17">
                  <c:v>0</c:v>
                </c:pt>
                <c:pt idx="18">
                  <c:v>6519</c:v>
                </c:pt>
                <c:pt idx="19">
                  <c:v>9988</c:v>
                </c:pt>
                <c:pt idx="20">
                  <c:v>11600</c:v>
                </c:pt>
                <c:pt idx="21">
                  <c:v>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6-4209-8CAF-17F6B12DF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483-486C-9DAE-CCA2DAC27B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3-486C-9DAE-CCA2DAC27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483-486C-9DAE-CCA2DAC27BD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3-486C-9DAE-CCA2DAC27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'20'!$D$6:$D$29</c:f>
              <c:strCache>
                <c:ptCount val="23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ACTUATOR</c:v>
                </c:pt>
                <c:pt idx="12">
                  <c:v>FLOATING</c:v>
                </c:pt>
                <c:pt idx="13">
                  <c:v>IC GUIDE</c:v>
                </c:pt>
                <c:pt idx="14">
                  <c:v>ACTUATOR</c:v>
                </c:pt>
                <c:pt idx="15">
                  <c:v>BASE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'20'!$L$6:$L$29</c:f>
              <c:numCache>
                <c:formatCode>_(* #,##0_);_(* \(#,##0\);_(* "-"_);_(@_)</c:formatCode>
                <c:ptCount val="24"/>
                <c:pt idx="1">
                  <c:v>4776</c:v>
                </c:pt>
                <c:pt idx="2">
                  <c:v>11712</c:v>
                </c:pt>
                <c:pt idx="3">
                  <c:v>11638</c:v>
                </c:pt>
                <c:pt idx="5">
                  <c:v>6046</c:v>
                </c:pt>
                <c:pt idx="6">
                  <c:v>1201</c:v>
                </c:pt>
                <c:pt idx="7">
                  <c:v>1736</c:v>
                </c:pt>
                <c:pt idx="8">
                  <c:v>9086</c:v>
                </c:pt>
                <c:pt idx="11">
                  <c:v>4843</c:v>
                </c:pt>
                <c:pt idx="12">
                  <c:v>1600</c:v>
                </c:pt>
                <c:pt idx="13">
                  <c:v>3204</c:v>
                </c:pt>
                <c:pt idx="14">
                  <c:v>11404</c:v>
                </c:pt>
                <c:pt idx="16">
                  <c:v>6981</c:v>
                </c:pt>
                <c:pt idx="17">
                  <c:v>61132</c:v>
                </c:pt>
                <c:pt idx="23">
                  <c:v>465600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F-4F76-BBFD-1817F5E2455B}"/>
            </c:ext>
          </c:extLst>
        </c:ser>
        <c:ser>
          <c:idx val="1"/>
          <c:order val="1"/>
          <c:tx>
            <c:v>계획</c:v>
          </c:tx>
          <c:cat>
            <c:strRef>
              <c:f>'20'!$D$6:$D$29</c:f>
              <c:strCache>
                <c:ptCount val="23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ACTUATOR</c:v>
                </c:pt>
                <c:pt idx="12">
                  <c:v>FLOATING</c:v>
                </c:pt>
                <c:pt idx="13">
                  <c:v>IC GUIDE</c:v>
                </c:pt>
                <c:pt idx="14">
                  <c:v>ACTUATOR</c:v>
                </c:pt>
                <c:pt idx="15">
                  <c:v>BASE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'20'!$J$6:$J$29</c:f>
              <c:numCache>
                <c:formatCode>_(* #,##0_);_(* \(#,##0\);_(* "-"_);_(@_)</c:formatCode>
                <c:ptCount val="24"/>
                <c:pt idx="0">
                  <c:v>600</c:v>
                </c:pt>
                <c:pt idx="1">
                  <c:v>4776</c:v>
                </c:pt>
                <c:pt idx="2">
                  <c:v>11712</c:v>
                </c:pt>
                <c:pt idx="3">
                  <c:v>11638</c:v>
                </c:pt>
                <c:pt idx="4">
                  <c:v>10206</c:v>
                </c:pt>
                <c:pt idx="5">
                  <c:v>6046</c:v>
                </c:pt>
                <c:pt idx="6">
                  <c:v>1201</c:v>
                </c:pt>
                <c:pt idx="7">
                  <c:v>1736</c:v>
                </c:pt>
                <c:pt idx="8">
                  <c:v>9086</c:v>
                </c:pt>
                <c:pt idx="9">
                  <c:v>608</c:v>
                </c:pt>
                <c:pt idx="10">
                  <c:v>12356</c:v>
                </c:pt>
                <c:pt idx="11">
                  <c:v>4843</c:v>
                </c:pt>
                <c:pt idx="12">
                  <c:v>1600</c:v>
                </c:pt>
                <c:pt idx="13">
                  <c:v>3204</c:v>
                </c:pt>
                <c:pt idx="14">
                  <c:v>11404</c:v>
                </c:pt>
                <c:pt idx="15">
                  <c:v>611</c:v>
                </c:pt>
                <c:pt idx="16">
                  <c:v>6981</c:v>
                </c:pt>
                <c:pt idx="17">
                  <c:v>61132</c:v>
                </c:pt>
                <c:pt idx="18">
                  <c:v>0</c:v>
                </c:pt>
                <c:pt idx="19">
                  <c:v>0</c:v>
                </c:pt>
                <c:pt idx="20">
                  <c:v>3244</c:v>
                </c:pt>
                <c:pt idx="21">
                  <c:v>9988</c:v>
                </c:pt>
                <c:pt idx="22">
                  <c:v>11600</c:v>
                </c:pt>
                <c:pt idx="23">
                  <c:v>465600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F-4F76-BBFD-1817F5E24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'20'!$AD$6:$AD$29</c:f>
              <c:strCache>
                <c:ptCount val="24"/>
                <c:pt idx="0">
                  <c:v>0%</c:v>
                </c:pt>
                <c:pt idx="1">
                  <c:v>88%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67%</c:v>
                </c:pt>
                <c:pt idx="6">
                  <c:v>25%</c:v>
                </c:pt>
                <c:pt idx="7">
                  <c:v>21%</c:v>
                </c:pt>
                <c:pt idx="8">
                  <c:v>88%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33%</c:v>
                </c:pt>
                <c:pt idx="13">
                  <c:v>58%</c:v>
                </c:pt>
                <c:pt idx="14">
                  <c:v>100%</c:v>
                </c:pt>
                <c:pt idx="15">
                  <c:v>0%</c:v>
                </c:pt>
                <c:pt idx="16">
                  <c:v>88%</c:v>
                </c:pt>
                <c:pt idx="17">
                  <c:v>100%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'20'!$D$6:$D$29</c:f>
              <c:strCache>
                <c:ptCount val="23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ACTUATOR</c:v>
                </c:pt>
                <c:pt idx="12">
                  <c:v>FLOATING</c:v>
                </c:pt>
                <c:pt idx="13">
                  <c:v>IC GUIDE</c:v>
                </c:pt>
                <c:pt idx="14">
                  <c:v>ACTUATOR</c:v>
                </c:pt>
                <c:pt idx="15">
                  <c:v>BASE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'20'!$AD$6:$AD$29</c:f>
              <c:numCache>
                <c:formatCode>0%</c:formatCode>
                <c:ptCount val="24"/>
                <c:pt idx="0">
                  <c:v>0</c:v>
                </c:pt>
                <c:pt idx="1">
                  <c:v>0.875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0.66666666666666663</c:v>
                </c:pt>
                <c:pt idx="6">
                  <c:v>0.25</c:v>
                </c:pt>
                <c:pt idx="7">
                  <c:v>0.20833333333333334</c:v>
                </c:pt>
                <c:pt idx="8">
                  <c:v>0.875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0.33333333333333331</c:v>
                </c:pt>
                <c:pt idx="13">
                  <c:v>0.58333333333333337</c:v>
                </c:pt>
                <c:pt idx="14">
                  <c:v>1</c:v>
                </c:pt>
                <c:pt idx="15">
                  <c:v>0</c:v>
                </c:pt>
                <c:pt idx="16">
                  <c:v>0.875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6-4AE8-81E6-D989C26900E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A6-4AE8-81E6-D989C26900E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'20'!$D$6:$D$29</c:f>
              <c:strCache>
                <c:ptCount val="23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ACTUATOR</c:v>
                </c:pt>
                <c:pt idx="12">
                  <c:v>FLOATING</c:v>
                </c:pt>
                <c:pt idx="13">
                  <c:v>IC GUIDE</c:v>
                </c:pt>
                <c:pt idx="14">
                  <c:v>ACTUATOR</c:v>
                </c:pt>
                <c:pt idx="15">
                  <c:v>BASE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'20'!$AE$6:$AE$29</c:f>
              <c:numCache>
                <c:formatCode>0%</c:formatCode>
                <c:ptCount val="24"/>
                <c:pt idx="0">
                  <c:v>0.44444444444444442</c:v>
                </c:pt>
                <c:pt idx="1">
                  <c:v>0.44444444444444442</c:v>
                </c:pt>
                <c:pt idx="2">
                  <c:v>0.44444444444444442</c:v>
                </c:pt>
                <c:pt idx="3">
                  <c:v>0.44444444444444442</c:v>
                </c:pt>
                <c:pt idx="4">
                  <c:v>0.44444444444444442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0.44444444444444442</c:v>
                </c:pt>
                <c:pt idx="8">
                  <c:v>0.44444444444444442</c:v>
                </c:pt>
                <c:pt idx="9">
                  <c:v>0.44444444444444442</c:v>
                </c:pt>
                <c:pt idx="10">
                  <c:v>0.44444444444444442</c:v>
                </c:pt>
                <c:pt idx="11">
                  <c:v>0.44444444444444442</c:v>
                </c:pt>
                <c:pt idx="12">
                  <c:v>0.44444444444444442</c:v>
                </c:pt>
                <c:pt idx="13">
                  <c:v>0.44444444444444442</c:v>
                </c:pt>
                <c:pt idx="14">
                  <c:v>0.44444444444444442</c:v>
                </c:pt>
                <c:pt idx="15">
                  <c:v>0.44444444444444442</c:v>
                </c:pt>
                <c:pt idx="16">
                  <c:v>0.44444444444444442</c:v>
                </c:pt>
                <c:pt idx="17">
                  <c:v>0.44444444444444442</c:v>
                </c:pt>
                <c:pt idx="18">
                  <c:v>0.44444444444444442</c:v>
                </c:pt>
                <c:pt idx="19">
                  <c:v>0.44444444444444442</c:v>
                </c:pt>
                <c:pt idx="20">
                  <c:v>0.44444444444444442</c:v>
                </c:pt>
                <c:pt idx="21">
                  <c:v>0.44444444444444442</c:v>
                </c:pt>
                <c:pt idx="22">
                  <c:v>0.44444444444444442</c:v>
                </c:pt>
                <c:pt idx="23">
                  <c:v>0.44444444444444442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6-4AE8-81E6-D989C26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'20'!$D$6:$D$29</c:f>
              <c:strCache>
                <c:ptCount val="23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ACTUATOR</c:v>
                </c:pt>
                <c:pt idx="12">
                  <c:v>FLOATING</c:v>
                </c:pt>
                <c:pt idx="13">
                  <c:v>IC GUIDE</c:v>
                </c:pt>
                <c:pt idx="14">
                  <c:v>ACTUATOR</c:v>
                </c:pt>
                <c:pt idx="15">
                  <c:v>BASE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'20'!$L$6:$L$29</c:f>
              <c:numCache>
                <c:formatCode>_(* #,##0_);_(* \(#,##0\);_(* "-"_);_(@_)</c:formatCode>
                <c:ptCount val="24"/>
                <c:pt idx="1">
                  <c:v>4776</c:v>
                </c:pt>
                <c:pt idx="2">
                  <c:v>11712</c:v>
                </c:pt>
                <c:pt idx="3">
                  <c:v>11638</c:v>
                </c:pt>
                <c:pt idx="5">
                  <c:v>6046</c:v>
                </c:pt>
                <c:pt idx="6">
                  <c:v>1201</c:v>
                </c:pt>
                <c:pt idx="7">
                  <c:v>1736</c:v>
                </c:pt>
                <c:pt idx="8">
                  <c:v>9086</c:v>
                </c:pt>
                <c:pt idx="11">
                  <c:v>4843</c:v>
                </c:pt>
                <c:pt idx="12">
                  <c:v>1600</c:v>
                </c:pt>
                <c:pt idx="13">
                  <c:v>3204</c:v>
                </c:pt>
                <c:pt idx="14">
                  <c:v>11404</c:v>
                </c:pt>
                <c:pt idx="16">
                  <c:v>6981</c:v>
                </c:pt>
                <c:pt idx="17">
                  <c:v>61132</c:v>
                </c:pt>
                <c:pt idx="23">
                  <c:v>465600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E-41B5-B940-C1E33A14C796}"/>
            </c:ext>
          </c:extLst>
        </c:ser>
        <c:ser>
          <c:idx val="1"/>
          <c:order val="1"/>
          <c:tx>
            <c:v>계획</c:v>
          </c:tx>
          <c:cat>
            <c:strRef>
              <c:f>'20'!$D$6:$D$29</c:f>
              <c:strCache>
                <c:ptCount val="23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ACTUATOR</c:v>
                </c:pt>
                <c:pt idx="12">
                  <c:v>FLOATING</c:v>
                </c:pt>
                <c:pt idx="13">
                  <c:v>IC GUIDE</c:v>
                </c:pt>
                <c:pt idx="14">
                  <c:v>ACTUATOR</c:v>
                </c:pt>
                <c:pt idx="15">
                  <c:v>BASE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'20'!$J$6:$J$29</c:f>
              <c:numCache>
                <c:formatCode>_(* #,##0_);_(* \(#,##0\);_(* "-"_);_(@_)</c:formatCode>
                <c:ptCount val="24"/>
                <c:pt idx="0">
                  <c:v>600</c:v>
                </c:pt>
                <c:pt idx="1">
                  <c:v>4776</c:v>
                </c:pt>
                <c:pt idx="2">
                  <c:v>11712</c:v>
                </c:pt>
                <c:pt idx="3">
                  <c:v>11638</c:v>
                </c:pt>
                <c:pt idx="4">
                  <c:v>10206</c:v>
                </c:pt>
                <c:pt idx="5">
                  <c:v>6046</c:v>
                </c:pt>
                <c:pt idx="6">
                  <c:v>1201</c:v>
                </c:pt>
                <c:pt idx="7">
                  <c:v>1736</c:v>
                </c:pt>
                <c:pt idx="8">
                  <c:v>9086</c:v>
                </c:pt>
                <c:pt idx="9">
                  <c:v>608</c:v>
                </c:pt>
                <c:pt idx="10">
                  <c:v>12356</c:v>
                </c:pt>
                <c:pt idx="11">
                  <c:v>4843</c:v>
                </c:pt>
                <c:pt idx="12">
                  <c:v>1600</c:v>
                </c:pt>
                <c:pt idx="13">
                  <c:v>3204</c:v>
                </c:pt>
                <c:pt idx="14">
                  <c:v>11404</c:v>
                </c:pt>
                <c:pt idx="15">
                  <c:v>611</c:v>
                </c:pt>
                <c:pt idx="16">
                  <c:v>6981</c:v>
                </c:pt>
                <c:pt idx="17">
                  <c:v>61132</c:v>
                </c:pt>
                <c:pt idx="18">
                  <c:v>0</c:v>
                </c:pt>
                <c:pt idx="19">
                  <c:v>0</c:v>
                </c:pt>
                <c:pt idx="20">
                  <c:v>3244</c:v>
                </c:pt>
                <c:pt idx="21">
                  <c:v>9988</c:v>
                </c:pt>
                <c:pt idx="22">
                  <c:v>11600</c:v>
                </c:pt>
                <c:pt idx="23">
                  <c:v>465600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E-41B5-B940-C1E33A14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'20'!$AD$6:$AD$29</c:f>
              <c:strCache>
                <c:ptCount val="24"/>
                <c:pt idx="0">
                  <c:v>0%</c:v>
                </c:pt>
                <c:pt idx="1">
                  <c:v>88%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67%</c:v>
                </c:pt>
                <c:pt idx="6">
                  <c:v>25%</c:v>
                </c:pt>
                <c:pt idx="7">
                  <c:v>21%</c:v>
                </c:pt>
                <c:pt idx="8">
                  <c:v>88%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33%</c:v>
                </c:pt>
                <c:pt idx="13">
                  <c:v>58%</c:v>
                </c:pt>
                <c:pt idx="14">
                  <c:v>100%</c:v>
                </c:pt>
                <c:pt idx="15">
                  <c:v>0%</c:v>
                </c:pt>
                <c:pt idx="16">
                  <c:v>88%</c:v>
                </c:pt>
                <c:pt idx="17">
                  <c:v>100%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'20'!$D$6:$D$29</c:f>
              <c:strCache>
                <c:ptCount val="23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ACTUATOR</c:v>
                </c:pt>
                <c:pt idx="12">
                  <c:v>FLOATING</c:v>
                </c:pt>
                <c:pt idx="13">
                  <c:v>IC GUIDE</c:v>
                </c:pt>
                <c:pt idx="14">
                  <c:v>ACTUATOR</c:v>
                </c:pt>
                <c:pt idx="15">
                  <c:v>BASE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'20'!$AD$6:$AD$29</c:f>
              <c:numCache>
                <c:formatCode>0%</c:formatCode>
                <c:ptCount val="24"/>
                <c:pt idx="0">
                  <c:v>0</c:v>
                </c:pt>
                <c:pt idx="1">
                  <c:v>0.875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0.66666666666666663</c:v>
                </c:pt>
                <c:pt idx="6">
                  <c:v>0.25</c:v>
                </c:pt>
                <c:pt idx="7">
                  <c:v>0.20833333333333334</c:v>
                </c:pt>
                <c:pt idx="8">
                  <c:v>0.875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0.33333333333333331</c:v>
                </c:pt>
                <c:pt idx="13">
                  <c:v>0.58333333333333337</c:v>
                </c:pt>
                <c:pt idx="14">
                  <c:v>1</c:v>
                </c:pt>
                <c:pt idx="15">
                  <c:v>0</c:v>
                </c:pt>
                <c:pt idx="16">
                  <c:v>0.875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E-4D66-B658-390CFBB3289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5E-4D66-B658-390CFBB3289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'20'!$D$6:$D$29</c:f>
              <c:strCache>
                <c:ptCount val="23"/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BASE</c:v>
                </c:pt>
                <c:pt idx="8">
                  <c:v>STOPPPER</c:v>
                </c:pt>
                <c:pt idx="9">
                  <c:v>BASE</c:v>
                </c:pt>
                <c:pt idx="10">
                  <c:v>COVER</c:v>
                </c:pt>
                <c:pt idx="11">
                  <c:v>ACTUATOR</c:v>
                </c:pt>
                <c:pt idx="12">
                  <c:v>FLOATING</c:v>
                </c:pt>
                <c:pt idx="13">
                  <c:v>IC GUIDE</c:v>
                </c:pt>
                <c:pt idx="14">
                  <c:v>ACTUATOR</c:v>
                </c:pt>
                <c:pt idx="15">
                  <c:v>BASE</c:v>
                </c:pt>
                <c:pt idx="16">
                  <c:v>BASE</c:v>
                </c:pt>
                <c:pt idx="20">
                  <c:v>SLIDER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'20'!$AE$6:$AE$29</c:f>
              <c:numCache>
                <c:formatCode>0%</c:formatCode>
                <c:ptCount val="24"/>
                <c:pt idx="0">
                  <c:v>0.44444444444444442</c:v>
                </c:pt>
                <c:pt idx="1">
                  <c:v>0.44444444444444442</c:v>
                </c:pt>
                <c:pt idx="2">
                  <c:v>0.44444444444444442</c:v>
                </c:pt>
                <c:pt idx="3">
                  <c:v>0.44444444444444442</c:v>
                </c:pt>
                <c:pt idx="4">
                  <c:v>0.44444444444444442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0.44444444444444442</c:v>
                </c:pt>
                <c:pt idx="8">
                  <c:v>0.44444444444444442</c:v>
                </c:pt>
                <c:pt idx="9">
                  <c:v>0.44444444444444442</c:v>
                </c:pt>
                <c:pt idx="10">
                  <c:v>0.44444444444444442</c:v>
                </c:pt>
                <c:pt idx="11">
                  <c:v>0.44444444444444442</c:v>
                </c:pt>
                <c:pt idx="12">
                  <c:v>0.44444444444444442</c:v>
                </c:pt>
                <c:pt idx="13">
                  <c:v>0.44444444444444442</c:v>
                </c:pt>
                <c:pt idx="14">
                  <c:v>0.44444444444444442</c:v>
                </c:pt>
                <c:pt idx="15">
                  <c:v>0.44444444444444442</c:v>
                </c:pt>
                <c:pt idx="16">
                  <c:v>0.44444444444444442</c:v>
                </c:pt>
                <c:pt idx="17">
                  <c:v>0.44444444444444442</c:v>
                </c:pt>
                <c:pt idx="18">
                  <c:v>0.44444444444444442</c:v>
                </c:pt>
                <c:pt idx="19">
                  <c:v>0.44444444444444442</c:v>
                </c:pt>
                <c:pt idx="20">
                  <c:v>0.44444444444444442</c:v>
                </c:pt>
                <c:pt idx="21">
                  <c:v>0.44444444444444442</c:v>
                </c:pt>
                <c:pt idx="22">
                  <c:v>0.44444444444444442</c:v>
                </c:pt>
                <c:pt idx="23">
                  <c:v>0.44444444444444442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E-4D66-B658-390CFBB3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76C-443C-A479-EB42FD9B95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C-443C-A479-EB42FD9B9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76C-443C-A479-EB42FD9B95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6C-443C-A479-EB42FD9B9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'21'!$L$6:$L$27</c:f>
              <c:numCache>
                <c:formatCode>_(* #,##0_);_(* \(#,##0\);_(* "-"_);_(@_)</c:formatCode>
                <c:ptCount val="22"/>
                <c:pt idx="0">
                  <c:v>150</c:v>
                </c:pt>
                <c:pt idx="1">
                  <c:v>3810</c:v>
                </c:pt>
                <c:pt idx="2">
                  <c:v>11856</c:v>
                </c:pt>
                <c:pt idx="3">
                  <c:v>11800</c:v>
                </c:pt>
                <c:pt idx="4">
                  <c:v>4028</c:v>
                </c:pt>
                <c:pt idx="5">
                  <c:v>3886</c:v>
                </c:pt>
                <c:pt idx="7">
                  <c:v>11062</c:v>
                </c:pt>
                <c:pt idx="8">
                  <c:v>750</c:v>
                </c:pt>
                <c:pt idx="10">
                  <c:v>5487</c:v>
                </c:pt>
                <c:pt idx="11">
                  <c:v>5974</c:v>
                </c:pt>
                <c:pt idx="12">
                  <c:v>11256</c:v>
                </c:pt>
                <c:pt idx="13">
                  <c:v>3623</c:v>
                </c:pt>
                <c:pt idx="14">
                  <c:v>3140</c:v>
                </c:pt>
                <c:pt idx="15">
                  <c:v>62396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0-4138-96C9-A3E157EB9A75}"/>
            </c:ext>
          </c:extLst>
        </c:ser>
        <c:ser>
          <c:idx val="1"/>
          <c:order val="1"/>
          <c:tx>
            <c:v>계획</c:v>
          </c:tx>
          <c:cat>
            <c:strRef>
              <c:f>'21'!$D$6:$D$27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'21'!$J$6:$J$27</c:f>
              <c:numCache>
                <c:formatCode>_(* #,##0_);_(* \(#,##0\);_(* "-"_);_(@_)</c:formatCode>
                <c:ptCount val="22"/>
                <c:pt idx="0">
                  <c:v>150</c:v>
                </c:pt>
                <c:pt idx="1">
                  <c:v>3810</c:v>
                </c:pt>
                <c:pt idx="2">
                  <c:v>11856</c:v>
                </c:pt>
                <c:pt idx="3">
                  <c:v>11800</c:v>
                </c:pt>
                <c:pt idx="4">
                  <c:v>4028</c:v>
                </c:pt>
                <c:pt idx="5">
                  <c:v>3886</c:v>
                </c:pt>
                <c:pt idx="6">
                  <c:v>1736</c:v>
                </c:pt>
                <c:pt idx="7">
                  <c:v>11062</c:v>
                </c:pt>
                <c:pt idx="8">
                  <c:v>750</c:v>
                </c:pt>
                <c:pt idx="9">
                  <c:v>12356</c:v>
                </c:pt>
                <c:pt idx="10">
                  <c:v>5487</c:v>
                </c:pt>
                <c:pt idx="11">
                  <c:v>5974</c:v>
                </c:pt>
                <c:pt idx="12">
                  <c:v>11256</c:v>
                </c:pt>
                <c:pt idx="13">
                  <c:v>3623</c:v>
                </c:pt>
                <c:pt idx="14">
                  <c:v>3140</c:v>
                </c:pt>
                <c:pt idx="15">
                  <c:v>62396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0-4138-96C9-A3E157EB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'21'!$AD$6:$AD$27</c:f>
              <c:strCache>
                <c:ptCount val="22"/>
                <c:pt idx="0">
                  <c:v>17%</c:v>
                </c:pt>
                <c:pt idx="1">
                  <c:v>79%</c:v>
                </c:pt>
                <c:pt idx="2">
                  <c:v>100%</c:v>
                </c:pt>
                <c:pt idx="3">
                  <c:v>100%</c:v>
                </c:pt>
                <c:pt idx="4">
                  <c:v>83%</c:v>
                </c:pt>
                <c:pt idx="5">
                  <c:v>63%</c:v>
                </c:pt>
                <c:pt idx="6">
                  <c:v>0%</c:v>
                </c:pt>
                <c:pt idx="7">
                  <c:v>100%</c:v>
                </c:pt>
                <c:pt idx="8">
                  <c:v>25%</c:v>
                </c:pt>
                <c:pt idx="9">
                  <c:v>0%</c:v>
                </c:pt>
                <c:pt idx="10">
                  <c:v>100%</c:v>
                </c:pt>
                <c:pt idx="11">
                  <c:v>100%</c:v>
                </c:pt>
                <c:pt idx="12">
                  <c:v>100%</c:v>
                </c:pt>
                <c:pt idx="13">
                  <c:v>75%</c:v>
                </c:pt>
                <c:pt idx="14">
                  <c:v>67%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38%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'21'!$AD$6:$AD$27</c:f>
              <c:numCache>
                <c:formatCode>0%</c:formatCode>
                <c:ptCount val="22"/>
                <c:pt idx="0">
                  <c:v>0.16666666666666666</c:v>
                </c:pt>
                <c:pt idx="1">
                  <c:v>0.79166666666666663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0.625</c:v>
                </c:pt>
                <c:pt idx="6">
                  <c:v>0</c:v>
                </c:pt>
                <c:pt idx="7">
                  <c:v>1</c:v>
                </c:pt>
                <c:pt idx="8">
                  <c:v>0.25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0.75</c:v>
                </c:pt>
                <c:pt idx="14">
                  <c:v>0.66666666666666663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A-4589-8EB9-18CB332777B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CA-4589-8EB9-18CB332777B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'21'!$AE$6:$AE$27</c:f>
              <c:numCache>
                <c:formatCode>0%</c:formatCode>
                <c:ptCount val="22"/>
                <c:pt idx="0">
                  <c:v>0.52083333333333326</c:v>
                </c:pt>
                <c:pt idx="1">
                  <c:v>0.52083333333333326</c:v>
                </c:pt>
                <c:pt idx="2">
                  <c:v>0.52083333333333326</c:v>
                </c:pt>
                <c:pt idx="3">
                  <c:v>0.52083333333333326</c:v>
                </c:pt>
                <c:pt idx="4">
                  <c:v>0.52083333333333326</c:v>
                </c:pt>
                <c:pt idx="5">
                  <c:v>0.52083333333333326</c:v>
                </c:pt>
                <c:pt idx="6">
                  <c:v>0.52083333333333326</c:v>
                </c:pt>
                <c:pt idx="7">
                  <c:v>0.52083333333333326</c:v>
                </c:pt>
                <c:pt idx="8">
                  <c:v>0.52083333333333326</c:v>
                </c:pt>
                <c:pt idx="9">
                  <c:v>0.52083333333333326</c:v>
                </c:pt>
                <c:pt idx="10">
                  <c:v>0.52083333333333326</c:v>
                </c:pt>
                <c:pt idx="11">
                  <c:v>0.52083333333333326</c:v>
                </c:pt>
                <c:pt idx="12">
                  <c:v>0.52083333333333326</c:v>
                </c:pt>
                <c:pt idx="13">
                  <c:v>0.52083333333333326</c:v>
                </c:pt>
                <c:pt idx="14">
                  <c:v>0.52083333333333326</c:v>
                </c:pt>
                <c:pt idx="15">
                  <c:v>0.52083333333333326</c:v>
                </c:pt>
                <c:pt idx="16">
                  <c:v>0.52083333333333326</c:v>
                </c:pt>
                <c:pt idx="17">
                  <c:v>0.52083333333333326</c:v>
                </c:pt>
                <c:pt idx="18">
                  <c:v>0.52083333333333326</c:v>
                </c:pt>
                <c:pt idx="19">
                  <c:v>0.52083333333333326</c:v>
                </c:pt>
                <c:pt idx="20">
                  <c:v>0.52083333333333326</c:v>
                </c:pt>
                <c:pt idx="21">
                  <c:v>0.52083333333333326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A-4589-8EB9-18CB3327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'21'!$L$6:$L$27</c:f>
              <c:numCache>
                <c:formatCode>_(* #,##0_);_(* \(#,##0\);_(* "-"_);_(@_)</c:formatCode>
                <c:ptCount val="22"/>
                <c:pt idx="0">
                  <c:v>150</c:v>
                </c:pt>
                <c:pt idx="1">
                  <c:v>3810</c:v>
                </c:pt>
                <c:pt idx="2">
                  <c:v>11856</c:v>
                </c:pt>
                <c:pt idx="3">
                  <c:v>11800</c:v>
                </c:pt>
                <c:pt idx="4">
                  <c:v>4028</c:v>
                </c:pt>
                <c:pt idx="5">
                  <c:v>3886</c:v>
                </c:pt>
                <c:pt idx="7">
                  <c:v>11062</c:v>
                </c:pt>
                <c:pt idx="8">
                  <c:v>750</c:v>
                </c:pt>
                <c:pt idx="10">
                  <c:v>5487</c:v>
                </c:pt>
                <c:pt idx="11">
                  <c:v>5974</c:v>
                </c:pt>
                <c:pt idx="12">
                  <c:v>11256</c:v>
                </c:pt>
                <c:pt idx="13">
                  <c:v>3623</c:v>
                </c:pt>
                <c:pt idx="14">
                  <c:v>3140</c:v>
                </c:pt>
                <c:pt idx="15">
                  <c:v>62396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B-417D-87E7-7C13D2ED6EE0}"/>
            </c:ext>
          </c:extLst>
        </c:ser>
        <c:ser>
          <c:idx val="1"/>
          <c:order val="1"/>
          <c:tx>
            <c:v>계획</c:v>
          </c:tx>
          <c:cat>
            <c:strRef>
              <c:f>'21'!$D$6:$D$27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'21'!$J$6:$J$27</c:f>
              <c:numCache>
                <c:formatCode>_(* #,##0_);_(* \(#,##0\);_(* "-"_);_(@_)</c:formatCode>
                <c:ptCount val="22"/>
                <c:pt idx="0">
                  <c:v>150</c:v>
                </c:pt>
                <c:pt idx="1">
                  <c:v>3810</c:v>
                </c:pt>
                <c:pt idx="2">
                  <c:v>11856</c:v>
                </c:pt>
                <c:pt idx="3">
                  <c:v>11800</c:v>
                </c:pt>
                <c:pt idx="4">
                  <c:v>4028</c:v>
                </c:pt>
                <c:pt idx="5">
                  <c:v>3886</c:v>
                </c:pt>
                <c:pt idx="6">
                  <c:v>1736</c:v>
                </c:pt>
                <c:pt idx="7">
                  <c:v>11062</c:v>
                </c:pt>
                <c:pt idx="8">
                  <c:v>750</c:v>
                </c:pt>
                <c:pt idx="9">
                  <c:v>12356</c:v>
                </c:pt>
                <c:pt idx="10">
                  <c:v>5487</c:v>
                </c:pt>
                <c:pt idx="11">
                  <c:v>5974</c:v>
                </c:pt>
                <c:pt idx="12">
                  <c:v>11256</c:v>
                </c:pt>
                <c:pt idx="13">
                  <c:v>3623</c:v>
                </c:pt>
                <c:pt idx="14">
                  <c:v>3140</c:v>
                </c:pt>
                <c:pt idx="15">
                  <c:v>62396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B-417D-87E7-7C13D2ED6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'21'!$AD$6:$AD$27</c:f>
              <c:strCache>
                <c:ptCount val="22"/>
                <c:pt idx="0">
                  <c:v>17%</c:v>
                </c:pt>
                <c:pt idx="1">
                  <c:v>79%</c:v>
                </c:pt>
                <c:pt idx="2">
                  <c:v>100%</c:v>
                </c:pt>
                <c:pt idx="3">
                  <c:v>100%</c:v>
                </c:pt>
                <c:pt idx="4">
                  <c:v>83%</c:v>
                </c:pt>
                <c:pt idx="5">
                  <c:v>63%</c:v>
                </c:pt>
                <c:pt idx="6">
                  <c:v>0%</c:v>
                </c:pt>
                <c:pt idx="7">
                  <c:v>100%</c:v>
                </c:pt>
                <c:pt idx="8">
                  <c:v>25%</c:v>
                </c:pt>
                <c:pt idx="9">
                  <c:v>0%</c:v>
                </c:pt>
                <c:pt idx="10">
                  <c:v>100%</c:v>
                </c:pt>
                <c:pt idx="11">
                  <c:v>100%</c:v>
                </c:pt>
                <c:pt idx="12">
                  <c:v>100%</c:v>
                </c:pt>
                <c:pt idx="13">
                  <c:v>75%</c:v>
                </c:pt>
                <c:pt idx="14">
                  <c:v>67%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38%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'21'!$AD$6:$AD$27</c:f>
              <c:numCache>
                <c:formatCode>0%</c:formatCode>
                <c:ptCount val="22"/>
                <c:pt idx="0">
                  <c:v>0.16666666666666666</c:v>
                </c:pt>
                <c:pt idx="1">
                  <c:v>0.79166666666666663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0.625</c:v>
                </c:pt>
                <c:pt idx="6">
                  <c:v>0</c:v>
                </c:pt>
                <c:pt idx="7">
                  <c:v>1</c:v>
                </c:pt>
                <c:pt idx="8">
                  <c:v>0.25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0.75</c:v>
                </c:pt>
                <c:pt idx="14">
                  <c:v>0.66666666666666663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8-4749-81A2-0B36377149E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D8-4749-81A2-0B36377149E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'21'!$AE$6:$AE$27</c:f>
              <c:numCache>
                <c:formatCode>0%</c:formatCode>
                <c:ptCount val="22"/>
                <c:pt idx="0">
                  <c:v>0.52083333333333326</c:v>
                </c:pt>
                <c:pt idx="1">
                  <c:v>0.52083333333333326</c:v>
                </c:pt>
                <c:pt idx="2">
                  <c:v>0.52083333333333326</c:v>
                </c:pt>
                <c:pt idx="3">
                  <c:v>0.52083333333333326</c:v>
                </c:pt>
                <c:pt idx="4">
                  <c:v>0.52083333333333326</c:v>
                </c:pt>
                <c:pt idx="5">
                  <c:v>0.52083333333333326</c:v>
                </c:pt>
                <c:pt idx="6">
                  <c:v>0.52083333333333326</c:v>
                </c:pt>
                <c:pt idx="7">
                  <c:v>0.52083333333333326</c:v>
                </c:pt>
                <c:pt idx="8">
                  <c:v>0.52083333333333326</c:v>
                </c:pt>
                <c:pt idx="9">
                  <c:v>0.52083333333333326</c:v>
                </c:pt>
                <c:pt idx="10">
                  <c:v>0.52083333333333326</c:v>
                </c:pt>
                <c:pt idx="11">
                  <c:v>0.52083333333333326</c:v>
                </c:pt>
                <c:pt idx="12">
                  <c:v>0.52083333333333326</c:v>
                </c:pt>
                <c:pt idx="13">
                  <c:v>0.52083333333333326</c:v>
                </c:pt>
                <c:pt idx="14">
                  <c:v>0.52083333333333326</c:v>
                </c:pt>
                <c:pt idx="15">
                  <c:v>0.52083333333333326</c:v>
                </c:pt>
                <c:pt idx="16">
                  <c:v>0.52083333333333326</c:v>
                </c:pt>
                <c:pt idx="17">
                  <c:v>0.52083333333333326</c:v>
                </c:pt>
                <c:pt idx="18">
                  <c:v>0.52083333333333326</c:v>
                </c:pt>
                <c:pt idx="19">
                  <c:v>0.52083333333333326</c:v>
                </c:pt>
                <c:pt idx="20">
                  <c:v>0.52083333333333326</c:v>
                </c:pt>
                <c:pt idx="21">
                  <c:v>0.52083333333333326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8-4749-81A2-0B363771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'03'!$AD$6:$AD$27</c:f>
              <c:strCache>
                <c:ptCount val="22"/>
                <c:pt idx="0">
                  <c:v>100%</c:v>
                </c:pt>
                <c:pt idx="1">
                  <c:v>0%</c:v>
                </c:pt>
                <c:pt idx="2">
                  <c:v>100%</c:v>
                </c:pt>
                <c:pt idx="3">
                  <c:v>75%</c:v>
                </c:pt>
                <c:pt idx="4">
                  <c:v>0%</c:v>
                </c:pt>
                <c:pt idx="5">
                  <c:v>17%</c:v>
                </c:pt>
                <c:pt idx="6">
                  <c:v>100%</c:v>
                </c:pt>
                <c:pt idx="7">
                  <c:v>0%</c:v>
                </c:pt>
                <c:pt idx="8">
                  <c:v>54%</c:v>
                </c:pt>
                <c:pt idx="9">
                  <c:v>0%</c:v>
                </c:pt>
                <c:pt idx="10">
                  <c:v>88%</c:v>
                </c:pt>
                <c:pt idx="11">
                  <c:v>0%</c:v>
                </c:pt>
                <c:pt idx="12">
                  <c:v>100%</c:v>
                </c:pt>
                <c:pt idx="13">
                  <c:v>17%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  <c:pt idx="17">
                  <c:v>0%</c:v>
                </c:pt>
                <c:pt idx="18">
                  <c:v>100%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'03'!$AD$6:$AD$27</c:f>
              <c:numCache>
                <c:formatCode>0%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0.75</c:v>
                </c:pt>
                <c:pt idx="4">
                  <c:v>0</c:v>
                </c:pt>
                <c:pt idx="5">
                  <c:v>0.16666666666666666</c:v>
                </c:pt>
                <c:pt idx="6">
                  <c:v>1</c:v>
                </c:pt>
                <c:pt idx="7">
                  <c:v>0</c:v>
                </c:pt>
                <c:pt idx="8">
                  <c:v>0.54166666666666663</c:v>
                </c:pt>
                <c:pt idx="9">
                  <c:v>0</c:v>
                </c:pt>
                <c:pt idx="10">
                  <c:v>0.875</c:v>
                </c:pt>
                <c:pt idx="11">
                  <c:v>0</c:v>
                </c:pt>
                <c:pt idx="12">
                  <c:v>1</c:v>
                </c:pt>
                <c:pt idx="13">
                  <c:v>0.16666666666666666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1-4E95-B0E6-34A196B2878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B1-4E95-B0E6-34A196B287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'03'!$D$6:$D$27</c:f>
              <c:strCache>
                <c:ptCount val="21"/>
                <c:pt idx="0">
                  <c:v>ADAPTER</c:v>
                </c:pt>
                <c:pt idx="2">
                  <c:v>STOPPPER</c:v>
                </c:pt>
                <c:pt idx="3">
                  <c:v>BASE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2">
                  <c:v>ACTUATOR</c:v>
                </c:pt>
                <c:pt idx="13">
                  <c:v>ACTUATOR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'03'!$AE$6:$AE$27</c:f>
              <c:numCache>
                <c:formatCode>0%</c:formatCode>
                <c:ptCount val="22"/>
                <c:pt idx="0">
                  <c:v>0.43181818181818182</c:v>
                </c:pt>
                <c:pt idx="1">
                  <c:v>0.43181818181818182</c:v>
                </c:pt>
                <c:pt idx="2">
                  <c:v>0.43181818181818182</c:v>
                </c:pt>
                <c:pt idx="3">
                  <c:v>0.43181818181818182</c:v>
                </c:pt>
                <c:pt idx="4">
                  <c:v>0.43181818181818182</c:v>
                </c:pt>
                <c:pt idx="5">
                  <c:v>0.43181818181818182</c:v>
                </c:pt>
                <c:pt idx="6">
                  <c:v>0.43181818181818182</c:v>
                </c:pt>
                <c:pt idx="7">
                  <c:v>0.43181818181818182</c:v>
                </c:pt>
                <c:pt idx="8">
                  <c:v>0.43181818181818182</c:v>
                </c:pt>
                <c:pt idx="9">
                  <c:v>0.43181818181818182</c:v>
                </c:pt>
                <c:pt idx="10">
                  <c:v>0.43181818181818182</c:v>
                </c:pt>
                <c:pt idx="11">
                  <c:v>0.43181818181818182</c:v>
                </c:pt>
                <c:pt idx="12">
                  <c:v>0.43181818181818182</c:v>
                </c:pt>
                <c:pt idx="13">
                  <c:v>0.43181818181818182</c:v>
                </c:pt>
                <c:pt idx="14">
                  <c:v>0.43181818181818182</c:v>
                </c:pt>
                <c:pt idx="15">
                  <c:v>0.43181818181818182</c:v>
                </c:pt>
                <c:pt idx="16">
                  <c:v>0.43181818181818182</c:v>
                </c:pt>
                <c:pt idx="17">
                  <c:v>0.43181818181818182</c:v>
                </c:pt>
                <c:pt idx="18">
                  <c:v>0.43181818181818182</c:v>
                </c:pt>
                <c:pt idx="19">
                  <c:v>0.43181818181818182</c:v>
                </c:pt>
                <c:pt idx="20">
                  <c:v>0.43181818181818182</c:v>
                </c:pt>
                <c:pt idx="21">
                  <c:v>0.43181818181818182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1-4E95-B0E6-34A196B2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B97-49BC-8C83-80BBF51CAE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7-49BC-8C83-80BBF51C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B97-49BC-8C83-80BBF51CAE8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7-49BC-8C83-80BBF51C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IC GUIDE</c:v>
                </c:pt>
                <c:pt idx="13">
                  <c:v>ACTUATOR</c:v>
                </c:pt>
                <c:pt idx="14">
                  <c:v>STOPPPER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'22'!$L$6:$L$28</c:f>
              <c:numCache>
                <c:formatCode>_(* #,##0_);_(* \(#,##0\);_(* "-"_);_(@_)</c:formatCode>
                <c:ptCount val="23"/>
                <c:pt idx="1">
                  <c:v>3773</c:v>
                </c:pt>
                <c:pt idx="2">
                  <c:v>11816</c:v>
                </c:pt>
                <c:pt idx="3">
                  <c:v>8836</c:v>
                </c:pt>
                <c:pt idx="4">
                  <c:v>5980</c:v>
                </c:pt>
                <c:pt idx="5">
                  <c:v>6407</c:v>
                </c:pt>
                <c:pt idx="7">
                  <c:v>12174</c:v>
                </c:pt>
                <c:pt idx="10">
                  <c:v>5445</c:v>
                </c:pt>
                <c:pt idx="11">
                  <c:v>700</c:v>
                </c:pt>
                <c:pt idx="12">
                  <c:v>3862</c:v>
                </c:pt>
                <c:pt idx="13">
                  <c:v>4434</c:v>
                </c:pt>
                <c:pt idx="14">
                  <c:v>5077</c:v>
                </c:pt>
                <c:pt idx="15">
                  <c:v>4342</c:v>
                </c:pt>
                <c:pt idx="16">
                  <c:v>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A-4FEF-A87F-56ED669170CD}"/>
            </c:ext>
          </c:extLst>
        </c:ser>
        <c:ser>
          <c:idx val="1"/>
          <c:order val="1"/>
          <c:tx>
            <c:v>계획</c:v>
          </c:tx>
          <c:cat>
            <c:strRef>
              <c:f>'22'!$D$6:$D$28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IC GUIDE</c:v>
                </c:pt>
                <c:pt idx="13">
                  <c:v>ACTUATOR</c:v>
                </c:pt>
                <c:pt idx="14">
                  <c:v>STOPPPER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'22'!$J$6:$J$28</c:f>
              <c:numCache>
                <c:formatCode>_(* #,##0_);_(* \(#,##0\);_(* "-"_);_(@_)</c:formatCode>
                <c:ptCount val="23"/>
                <c:pt idx="0">
                  <c:v>150</c:v>
                </c:pt>
                <c:pt idx="1">
                  <c:v>3773</c:v>
                </c:pt>
                <c:pt idx="2">
                  <c:v>11816</c:v>
                </c:pt>
                <c:pt idx="3">
                  <c:v>8836</c:v>
                </c:pt>
                <c:pt idx="4">
                  <c:v>5980</c:v>
                </c:pt>
                <c:pt idx="5">
                  <c:v>6407</c:v>
                </c:pt>
                <c:pt idx="6">
                  <c:v>1736</c:v>
                </c:pt>
                <c:pt idx="7">
                  <c:v>12174</c:v>
                </c:pt>
                <c:pt idx="8">
                  <c:v>750</c:v>
                </c:pt>
                <c:pt idx="9">
                  <c:v>12356</c:v>
                </c:pt>
                <c:pt idx="10">
                  <c:v>5445</c:v>
                </c:pt>
                <c:pt idx="11">
                  <c:v>700</c:v>
                </c:pt>
                <c:pt idx="12">
                  <c:v>3862</c:v>
                </c:pt>
                <c:pt idx="13">
                  <c:v>4434</c:v>
                </c:pt>
                <c:pt idx="14">
                  <c:v>5077</c:v>
                </c:pt>
                <c:pt idx="15">
                  <c:v>4342</c:v>
                </c:pt>
                <c:pt idx="16">
                  <c:v>4328</c:v>
                </c:pt>
                <c:pt idx="17">
                  <c:v>0</c:v>
                </c:pt>
                <c:pt idx="18">
                  <c:v>0</c:v>
                </c:pt>
                <c:pt idx="19">
                  <c:v>3244</c:v>
                </c:pt>
                <c:pt idx="20">
                  <c:v>9988</c:v>
                </c:pt>
                <c:pt idx="21">
                  <c:v>11600</c:v>
                </c:pt>
                <c:pt idx="22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A-4FEF-A87F-56ED66917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'22'!$AD$6:$AD$28</c:f>
              <c:strCache>
                <c:ptCount val="23"/>
                <c:pt idx="0">
                  <c:v>0%</c:v>
                </c:pt>
                <c:pt idx="1">
                  <c:v>79%</c:v>
                </c:pt>
                <c:pt idx="2">
                  <c:v>100%</c:v>
                </c:pt>
                <c:pt idx="3">
                  <c:v>83%</c:v>
                </c:pt>
                <c:pt idx="4">
                  <c:v>100%</c:v>
                </c:pt>
                <c:pt idx="5">
                  <c:v>100%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13%</c:v>
                </c:pt>
                <c:pt idx="12">
                  <c:v>75%</c:v>
                </c:pt>
                <c:pt idx="13">
                  <c:v>67%</c:v>
                </c:pt>
                <c:pt idx="14">
                  <c:v>100%</c:v>
                </c:pt>
                <c:pt idx="15">
                  <c:v>92%</c:v>
                </c:pt>
                <c:pt idx="16">
                  <c:v>17%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IC GUIDE</c:v>
                </c:pt>
                <c:pt idx="13">
                  <c:v>ACTUATOR</c:v>
                </c:pt>
                <c:pt idx="14">
                  <c:v>STOPPPER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'22'!$AD$6:$AD$28</c:f>
              <c:numCache>
                <c:formatCode>0%</c:formatCode>
                <c:ptCount val="23"/>
                <c:pt idx="0">
                  <c:v>0</c:v>
                </c:pt>
                <c:pt idx="1">
                  <c:v>0.79166666666666663</c:v>
                </c:pt>
                <c:pt idx="2">
                  <c:v>1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0.125</c:v>
                </c:pt>
                <c:pt idx="12">
                  <c:v>0.75</c:v>
                </c:pt>
                <c:pt idx="13">
                  <c:v>0.66666666666666663</c:v>
                </c:pt>
                <c:pt idx="14">
                  <c:v>1</c:v>
                </c:pt>
                <c:pt idx="15">
                  <c:v>0.91666666666666663</c:v>
                </c:pt>
                <c:pt idx="16">
                  <c:v>0.16666666666666666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5-4ADC-B159-F9E7D0858A7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45-4ADC-B159-F9E7D0858A7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IC GUIDE</c:v>
                </c:pt>
                <c:pt idx="13">
                  <c:v>ACTUATOR</c:v>
                </c:pt>
                <c:pt idx="14">
                  <c:v>STOPPPER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'22'!$AE$6:$AE$28</c:f>
              <c:numCache>
                <c:formatCode>0%</c:formatCode>
                <c:ptCount val="23"/>
                <c:pt idx="0">
                  <c:v>0.4456521739130434</c:v>
                </c:pt>
                <c:pt idx="1">
                  <c:v>0.4456521739130434</c:v>
                </c:pt>
                <c:pt idx="2">
                  <c:v>0.4456521739130434</c:v>
                </c:pt>
                <c:pt idx="3">
                  <c:v>0.4456521739130434</c:v>
                </c:pt>
                <c:pt idx="4">
                  <c:v>0.4456521739130434</c:v>
                </c:pt>
                <c:pt idx="5">
                  <c:v>0.4456521739130434</c:v>
                </c:pt>
                <c:pt idx="6">
                  <c:v>0.4456521739130434</c:v>
                </c:pt>
                <c:pt idx="7">
                  <c:v>0.4456521739130434</c:v>
                </c:pt>
                <c:pt idx="8">
                  <c:v>0.4456521739130434</c:v>
                </c:pt>
                <c:pt idx="9">
                  <c:v>0.4456521739130434</c:v>
                </c:pt>
                <c:pt idx="10">
                  <c:v>0.4456521739130434</c:v>
                </c:pt>
                <c:pt idx="11">
                  <c:v>0.4456521739130434</c:v>
                </c:pt>
                <c:pt idx="12">
                  <c:v>0.4456521739130434</c:v>
                </c:pt>
                <c:pt idx="13">
                  <c:v>0.4456521739130434</c:v>
                </c:pt>
                <c:pt idx="14">
                  <c:v>0.4456521739130434</c:v>
                </c:pt>
                <c:pt idx="15">
                  <c:v>0.4456521739130434</c:v>
                </c:pt>
                <c:pt idx="16">
                  <c:v>0.4456521739130434</c:v>
                </c:pt>
                <c:pt idx="17">
                  <c:v>0.4456521739130434</c:v>
                </c:pt>
                <c:pt idx="18">
                  <c:v>0.4456521739130434</c:v>
                </c:pt>
                <c:pt idx="19">
                  <c:v>0.4456521739130434</c:v>
                </c:pt>
                <c:pt idx="20">
                  <c:v>0.4456521739130434</c:v>
                </c:pt>
                <c:pt idx="21">
                  <c:v>0.4456521739130434</c:v>
                </c:pt>
                <c:pt idx="22">
                  <c:v>0.4456521739130434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5-4ADC-B159-F9E7D0858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IC GUIDE</c:v>
                </c:pt>
                <c:pt idx="13">
                  <c:v>ACTUATOR</c:v>
                </c:pt>
                <c:pt idx="14">
                  <c:v>STOPPPER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'22'!$L$6:$L$28</c:f>
              <c:numCache>
                <c:formatCode>_(* #,##0_);_(* \(#,##0\);_(* "-"_);_(@_)</c:formatCode>
                <c:ptCount val="23"/>
                <c:pt idx="1">
                  <c:v>3773</c:v>
                </c:pt>
                <c:pt idx="2">
                  <c:v>11816</c:v>
                </c:pt>
                <c:pt idx="3">
                  <c:v>8836</c:v>
                </c:pt>
                <c:pt idx="4">
                  <c:v>5980</c:v>
                </c:pt>
                <c:pt idx="5">
                  <c:v>6407</c:v>
                </c:pt>
                <c:pt idx="7">
                  <c:v>12174</c:v>
                </c:pt>
                <c:pt idx="10">
                  <c:v>5445</c:v>
                </c:pt>
                <c:pt idx="11">
                  <c:v>700</c:v>
                </c:pt>
                <c:pt idx="12">
                  <c:v>3862</c:v>
                </c:pt>
                <c:pt idx="13">
                  <c:v>4434</c:v>
                </c:pt>
                <c:pt idx="14">
                  <c:v>5077</c:v>
                </c:pt>
                <c:pt idx="15">
                  <c:v>4342</c:v>
                </c:pt>
                <c:pt idx="16">
                  <c:v>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3-45B4-B25F-76EA7EADC748}"/>
            </c:ext>
          </c:extLst>
        </c:ser>
        <c:ser>
          <c:idx val="1"/>
          <c:order val="1"/>
          <c:tx>
            <c:v>계획</c:v>
          </c:tx>
          <c:cat>
            <c:strRef>
              <c:f>'22'!$D$6:$D$28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IC GUIDE</c:v>
                </c:pt>
                <c:pt idx="13">
                  <c:v>ACTUATOR</c:v>
                </c:pt>
                <c:pt idx="14">
                  <c:v>STOPPPER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'22'!$J$6:$J$28</c:f>
              <c:numCache>
                <c:formatCode>_(* #,##0_);_(* \(#,##0\);_(* "-"_);_(@_)</c:formatCode>
                <c:ptCount val="23"/>
                <c:pt idx="0">
                  <c:v>150</c:v>
                </c:pt>
                <c:pt idx="1">
                  <c:v>3773</c:v>
                </c:pt>
                <c:pt idx="2">
                  <c:v>11816</c:v>
                </c:pt>
                <c:pt idx="3">
                  <c:v>8836</c:v>
                </c:pt>
                <c:pt idx="4">
                  <c:v>5980</c:v>
                </c:pt>
                <c:pt idx="5">
                  <c:v>6407</c:v>
                </c:pt>
                <c:pt idx="6">
                  <c:v>1736</c:v>
                </c:pt>
                <c:pt idx="7">
                  <c:v>12174</c:v>
                </c:pt>
                <c:pt idx="8">
                  <c:v>750</c:v>
                </c:pt>
                <c:pt idx="9">
                  <c:v>12356</c:v>
                </c:pt>
                <c:pt idx="10">
                  <c:v>5445</c:v>
                </c:pt>
                <c:pt idx="11">
                  <c:v>700</c:v>
                </c:pt>
                <c:pt idx="12">
                  <c:v>3862</c:v>
                </c:pt>
                <c:pt idx="13">
                  <c:v>4434</c:v>
                </c:pt>
                <c:pt idx="14">
                  <c:v>5077</c:v>
                </c:pt>
                <c:pt idx="15">
                  <c:v>4342</c:v>
                </c:pt>
                <c:pt idx="16">
                  <c:v>4328</c:v>
                </c:pt>
                <c:pt idx="17">
                  <c:v>0</c:v>
                </c:pt>
                <c:pt idx="18">
                  <c:v>0</c:v>
                </c:pt>
                <c:pt idx="19">
                  <c:v>3244</c:v>
                </c:pt>
                <c:pt idx="20">
                  <c:v>9988</c:v>
                </c:pt>
                <c:pt idx="21">
                  <c:v>11600</c:v>
                </c:pt>
                <c:pt idx="22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3-45B4-B25F-76EA7EADC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'22'!$AD$6:$AD$28</c:f>
              <c:strCache>
                <c:ptCount val="23"/>
                <c:pt idx="0">
                  <c:v>0%</c:v>
                </c:pt>
                <c:pt idx="1">
                  <c:v>79%</c:v>
                </c:pt>
                <c:pt idx="2">
                  <c:v>100%</c:v>
                </c:pt>
                <c:pt idx="3">
                  <c:v>83%</c:v>
                </c:pt>
                <c:pt idx="4">
                  <c:v>100%</c:v>
                </c:pt>
                <c:pt idx="5">
                  <c:v>100%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13%</c:v>
                </c:pt>
                <c:pt idx="12">
                  <c:v>75%</c:v>
                </c:pt>
                <c:pt idx="13">
                  <c:v>67%</c:v>
                </c:pt>
                <c:pt idx="14">
                  <c:v>100%</c:v>
                </c:pt>
                <c:pt idx="15">
                  <c:v>92%</c:v>
                </c:pt>
                <c:pt idx="16">
                  <c:v>17%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IC GUIDE</c:v>
                </c:pt>
                <c:pt idx="13">
                  <c:v>ACTUATOR</c:v>
                </c:pt>
                <c:pt idx="14">
                  <c:v>STOPPPER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'22'!$AD$6:$AD$28</c:f>
              <c:numCache>
                <c:formatCode>0%</c:formatCode>
                <c:ptCount val="23"/>
                <c:pt idx="0">
                  <c:v>0</c:v>
                </c:pt>
                <c:pt idx="1">
                  <c:v>0.79166666666666663</c:v>
                </c:pt>
                <c:pt idx="2">
                  <c:v>1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0.125</c:v>
                </c:pt>
                <c:pt idx="12">
                  <c:v>0.75</c:v>
                </c:pt>
                <c:pt idx="13">
                  <c:v>0.66666666666666663</c:v>
                </c:pt>
                <c:pt idx="14">
                  <c:v>1</c:v>
                </c:pt>
                <c:pt idx="15">
                  <c:v>0.91666666666666663</c:v>
                </c:pt>
                <c:pt idx="16">
                  <c:v>0.16666666666666666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3-4011-AF1B-E310E9F2386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73-4011-AF1B-E310E9F2386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'22'!$D$6:$D$28</c:f>
              <c:strCache>
                <c:ptCount val="22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IC GUIDE</c:v>
                </c:pt>
                <c:pt idx="13">
                  <c:v>ACTUATOR</c:v>
                </c:pt>
                <c:pt idx="14">
                  <c:v>STOPPPER</c:v>
                </c:pt>
                <c:pt idx="15">
                  <c:v>BASE</c:v>
                </c:pt>
                <c:pt idx="19">
                  <c:v>SLIDER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'22'!$AE$6:$AE$28</c:f>
              <c:numCache>
                <c:formatCode>0%</c:formatCode>
                <c:ptCount val="23"/>
                <c:pt idx="0">
                  <c:v>0.4456521739130434</c:v>
                </c:pt>
                <c:pt idx="1">
                  <c:v>0.4456521739130434</c:v>
                </c:pt>
                <c:pt idx="2">
                  <c:v>0.4456521739130434</c:v>
                </c:pt>
                <c:pt idx="3">
                  <c:v>0.4456521739130434</c:v>
                </c:pt>
                <c:pt idx="4">
                  <c:v>0.4456521739130434</c:v>
                </c:pt>
                <c:pt idx="5">
                  <c:v>0.4456521739130434</c:v>
                </c:pt>
                <c:pt idx="6">
                  <c:v>0.4456521739130434</c:v>
                </c:pt>
                <c:pt idx="7">
                  <c:v>0.4456521739130434</c:v>
                </c:pt>
                <c:pt idx="8">
                  <c:v>0.4456521739130434</c:v>
                </c:pt>
                <c:pt idx="9">
                  <c:v>0.4456521739130434</c:v>
                </c:pt>
                <c:pt idx="10">
                  <c:v>0.4456521739130434</c:v>
                </c:pt>
                <c:pt idx="11">
                  <c:v>0.4456521739130434</c:v>
                </c:pt>
                <c:pt idx="12">
                  <c:v>0.4456521739130434</c:v>
                </c:pt>
                <c:pt idx="13">
                  <c:v>0.4456521739130434</c:v>
                </c:pt>
                <c:pt idx="14">
                  <c:v>0.4456521739130434</c:v>
                </c:pt>
                <c:pt idx="15">
                  <c:v>0.4456521739130434</c:v>
                </c:pt>
                <c:pt idx="16">
                  <c:v>0.4456521739130434</c:v>
                </c:pt>
                <c:pt idx="17">
                  <c:v>0.4456521739130434</c:v>
                </c:pt>
                <c:pt idx="18">
                  <c:v>0.4456521739130434</c:v>
                </c:pt>
                <c:pt idx="19">
                  <c:v>0.4456521739130434</c:v>
                </c:pt>
                <c:pt idx="20">
                  <c:v>0.4456521739130434</c:v>
                </c:pt>
                <c:pt idx="21">
                  <c:v>0.4456521739130434</c:v>
                </c:pt>
                <c:pt idx="22">
                  <c:v>0.4456521739130434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3-4011-AF1B-E310E9F2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05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8F5-4C4B-BC71-BEB67BF3F9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0.41098484848484845</c:v>
                </c:pt>
                <c:pt idx="2">
                  <c:v>0.43181818181818182</c:v>
                </c:pt>
                <c:pt idx="3">
                  <c:v>0.44128787878787884</c:v>
                </c:pt>
                <c:pt idx="4">
                  <c:v>0.375</c:v>
                </c:pt>
                <c:pt idx="5">
                  <c:v>0.44696969696969691</c:v>
                </c:pt>
                <c:pt idx="6">
                  <c:v>0.45454545454545453</c:v>
                </c:pt>
                <c:pt idx="7">
                  <c:v>0.43560606060606061</c:v>
                </c:pt>
                <c:pt idx="9">
                  <c:v>0.375</c:v>
                </c:pt>
                <c:pt idx="10">
                  <c:v>0.48550724637681147</c:v>
                </c:pt>
                <c:pt idx="11">
                  <c:v>0.50173611111111105</c:v>
                </c:pt>
                <c:pt idx="12">
                  <c:v>0.51449275362318836</c:v>
                </c:pt>
                <c:pt idx="13">
                  <c:v>0.45312500000000006</c:v>
                </c:pt>
                <c:pt idx="14">
                  <c:v>0.40340909090909088</c:v>
                </c:pt>
                <c:pt idx="16">
                  <c:v>0.4224467755727892</c:v>
                </c:pt>
                <c:pt idx="17">
                  <c:v>0.44696969696969691</c:v>
                </c:pt>
                <c:pt idx="18">
                  <c:v>0.45652173913043476</c:v>
                </c:pt>
                <c:pt idx="19">
                  <c:v>0.44444444444444442</c:v>
                </c:pt>
                <c:pt idx="20">
                  <c:v>0.52083333333333326</c:v>
                </c:pt>
                <c:pt idx="21">
                  <c:v>0.4456521739130434</c:v>
                </c:pt>
                <c:pt idx="22">
                  <c:v>0.19318181818181818</c:v>
                </c:pt>
                <c:pt idx="23">
                  <c:v>0.46969696969696972</c:v>
                </c:pt>
                <c:pt idx="24">
                  <c:v>0.4888129919613956</c:v>
                </c:pt>
                <c:pt idx="25">
                  <c:v>0.48369565217391297</c:v>
                </c:pt>
                <c:pt idx="26">
                  <c:v>0.52840909090909094</c:v>
                </c:pt>
                <c:pt idx="27">
                  <c:v>0.58152173913043481</c:v>
                </c:pt>
                <c:pt idx="28">
                  <c:v>0.46969696969696972</c:v>
                </c:pt>
                <c:pt idx="29">
                  <c:v>0.11363636363636363</c:v>
                </c:pt>
                <c:pt idx="30">
                  <c:v>0.40151515151515144</c:v>
                </c:pt>
                <c:pt idx="31">
                  <c:v>0.40655057444993914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5-4C4B-BC71-BEB67BF3F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8F5-4C4B-BC71-BEB67BF3F9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F5-4C4B-BC71-BEB67BF3F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'23'!$L$6:$L$27</c:f>
              <c:numCache>
                <c:formatCode>_(* #,##0_);_(* \(#,##0\);_(* "-"_);_(@_)</c:formatCode>
                <c:ptCount val="22"/>
                <c:pt idx="1">
                  <c:v>2780</c:v>
                </c:pt>
                <c:pt idx="2">
                  <c:v>5182</c:v>
                </c:pt>
                <c:pt idx="3">
                  <c:v>5222</c:v>
                </c:pt>
                <c:pt idx="4">
                  <c:v>2699</c:v>
                </c:pt>
                <c:pt idx="5">
                  <c:v>2878</c:v>
                </c:pt>
                <c:pt idx="7">
                  <c:v>5438</c:v>
                </c:pt>
                <c:pt idx="10">
                  <c:v>2411</c:v>
                </c:pt>
                <c:pt idx="11">
                  <c:v>2538</c:v>
                </c:pt>
                <c:pt idx="12">
                  <c:v>2660</c:v>
                </c:pt>
                <c:pt idx="14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5-4834-A3ED-496075CCA5B1}"/>
            </c:ext>
          </c:extLst>
        </c:ser>
        <c:ser>
          <c:idx val="1"/>
          <c:order val="1"/>
          <c:tx>
            <c:v>계획</c:v>
          </c:tx>
          <c:cat>
            <c:strRef>
              <c:f>'23'!$D$6:$D$27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'23'!$J$6:$J$27</c:f>
              <c:numCache>
                <c:formatCode>_(* #,##0_);_(* \(#,##0\);_(* "-"_);_(@_)</c:formatCode>
                <c:ptCount val="22"/>
                <c:pt idx="0">
                  <c:v>150</c:v>
                </c:pt>
                <c:pt idx="1">
                  <c:v>2780</c:v>
                </c:pt>
                <c:pt idx="2">
                  <c:v>5182</c:v>
                </c:pt>
                <c:pt idx="3">
                  <c:v>5222</c:v>
                </c:pt>
                <c:pt idx="4">
                  <c:v>2699</c:v>
                </c:pt>
                <c:pt idx="5">
                  <c:v>2878</c:v>
                </c:pt>
                <c:pt idx="6">
                  <c:v>1736</c:v>
                </c:pt>
                <c:pt idx="7">
                  <c:v>5438</c:v>
                </c:pt>
                <c:pt idx="8">
                  <c:v>750</c:v>
                </c:pt>
                <c:pt idx="9">
                  <c:v>12356</c:v>
                </c:pt>
                <c:pt idx="10">
                  <c:v>2411</c:v>
                </c:pt>
                <c:pt idx="11">
                  <c:v>2538</c:v>
                </c:pt>
                <c:pt idx="12">
                  <c:v>2660</c:v>
                </c:pt>
                <c:pt idx="13">
                  <c:v>5077</c:v>
                </c:pt>
                <c:pt idx="14">
                  <c:v>308</c:v>
                </c:pt>
                <c:pt idx="15">
                  <c:v>4328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5-4834-A3ED-496075CCA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'23'!$AD$6:$AD$27</c:f>
              <c:strCache>
                <c:ptCount val="22"/>
                <c:pt idx="0">
                  <c:v>0%</c:v>
                </c:pt>
                <c:pt idx="1">
                  <c:v>46%</c:v>
                </c:pt>
                <c:pt idx="2">
                  <c:v>46%</c:v>
                </c:pt>
                <c:pt idx="3">
                  <c:v>46%</c:v>
                </c:pt>
                <c:pt idx="4">
                  <c:v>46%</c:v>
                </c:pt>
                <c:pt idx="5">
                  <c:v>46%</c:v>
                </c:pt>
                <c:pt idx="6">
                  <c:v>0%</c:v>
                </c:pt>
                <c:pt idx="7">
                  <c:v>46%</c:v>
                </c:pt>
                <c:pt idx="8">
                  <c:v>0%</c:v>
                </c:pt>
                <c:pt idx="9">
                  <c:v>0%</c:v>
                </c:pt>
                <c:pt idx="10">
                  <c:v>46%</c:v>
                </c:pt>
                <c:pt idx="11">
                  <c:v>46%</c:v>
                </c:pt>
                <c:pt idx="12">
                  <c:v>38%</c:v>
                </c:pt>
                <c:pt idx="13">
                  <c:v>0%</c:v>
                </c:pt>
                <c:pt idx="14">
                  <c:v>21%</c:v>
                </c:pt>
                <c:pt idx="15">
                  <c:v>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'23'!$AD$6:$AD$27</c:f>
              <c:numCache>
                <c:formatCode>0%</c:formatCode>
                <c:ptCount val="22"/>
                <c:pt idx="0">
                  <c:v>0</c:v>
                </c:pt>
                <c:pt idx="1">
                  <c:v>0.45833333333333331</c:v>
                </c:pt>
                <c:pt idx="2">
                  <c:v>0.45833333333333331</c:v>
                </c:pt>
                <c:pt idx="3">
                  <c:v>0.45833333333333331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</c:v>
                </c:pt>
                <c:pt idx="7">
                  <c:v>0.45833333333333331</c:v>
                </c:pt>
                <c:pt idx="8">
                  <c:v>0</c:v>
                </c:pt>
                <c:pt idx="9">
                  <c:v>0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0.375</c:v>
                </c:pt>
                <c:pt idx="13">
                  <c:v>0</c:v>
                </c:pt>
                <c:pt idx="14">
                  <c:v>0.20833333333333334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D-445F-ADBA-936799CB10B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9D-445F-ADBA-936799CB10B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'23'!$AE$6:$AE$27</c:f>
              <c:numCache>
                <c:formatCode>0%</c:formatCode>
                <c:ptCount val="22"/>
                <c:pt idx="0">
                  <c:v>0.19318181818181818</c:v>
                </c:pt>
                <c:pt idx="1">
                  <c:v>0.19318181818181818</c:v>
                </c:pt>
                <c:pt idx="2">
                  <c:v>0.19318181818181818</c:v>
                </c:pt>
                <c:pt idx="3">
                  <c:v>0.19318181818181818</c:v>
                </c:pt>
                <c:pt idx="4">
                  <c:v>0.19318181818181818</c:v>
                </c:pt>
                <c:pt idx="5">
                  <c:v>0.19318181818181818</c:v>
                </c:pt>
                <c:pt idx="6">
                  <c:v>0.19318181818181818</c:v>
                </c:pt>
                <c:pt idx="7">
                  <c:v>0.19318181818181818</c:v>
                </c:pt>
                <c:pt idx="8">
                  <c:v>0.19318181818181818</c:v>
                </c:pt>
                <c:pt idx="9">
                  <c:v>0.19318181818181818</c:v>
                </c:pt>
                <c:pt idx="10">
                  <c:v>0.19318181818181818</c:v>
                </c:pt>
                <c:pt idx="11">
                  <c:v>0.19318181818181818</c:v>
                </c:pt>
                <c:pt idx="12">
                  <c:v>0.19318181818181818</c:v>
                </c:pt>
                <c:pt idx="13">
                  <c:v>0.19318181818181818</c:v>
                </c:pt>
                <c:pt idx="14">
                  <c:v>0.19318181818181818</c:v>
                </c:pt>
                <c:pt idx="15">
                  <c:v>0.19318181818181818</c:v>
                </c:pt>
                <c:pt idx="16">
                  <c:v>0.19318181818181818</c:v>
                </c:pt>
                <c:pt idx="17">
                  <c:v>0.19318181818181818</c:v>
                </c:pt>
                <c:pt idx="18">
                  <c:v>0.19318181818181818</c:v>
                </c:pt>
                <c:pt idx="19">
                  <c:v>0.19318181818181818</c:v>
                </c:pt>
                <c:pt idx="20">
                  <c:v>0.19318181818181818</c:v>
                </c:pt>
                <c:pt idx="21">
                  <c:v>0.19318181818181818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D-445F-ADBA-936799CB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'23'!$L$6:$L$27</c:f>
              <c:numCache>
                <c:formatCode>_(* #,##0_);_(* \(#,##0\);_(* "-"_);_(@_)</c:formatCode>
                <c:ptCount val="22"/>
                <c:pt idx="1">
                  <c:v>2780</c:v>
                </c:pt>
                <c:pt idx="2">
                  <c:v>5182</c:v>
                </c:pt>
                <c:pt idx="3">
                  <c:v>5222</c:v>
                </c:pt>
                <c:pt idx="4">
                  <c:v>2699</c:v>
                </c:pt>
                <c:pt idx="5">
                  <c:v>2878</c:v>
                </c:pt>
                <c:pt idx="7">
                  <c:v>5438</c:v>
                </c:pt>
                <c:pt idx="10">
                  <c:v>2411</c:v>
                </c:pt>
                <c:pt idx="11">
                  <c:v>2538</c:v>
                </c:pt>
                <c:pt idx="12">
                  <c:v>2660</c:v>
                </c:pt>
                <c:pt idx="14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3-40DC-A29F-0046DABC5DEF}"/>
            </c:ext>
          </c:extLst>
        </c:ser>
        <c:ser>
          <c:idx val="1"/>
          <c:order val="1"/>
          <c:tx>
            <c:v>계획</c:v>
          </c:tx>
          <c:cat>
            <c:strRef>
              <c:f>'23'!$D$6:$D$27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'23'!$J$6:$J$27</c:f>
              <c:numCache>
                <c:formatCode>_(* #,##0_);_(* \(#,##0\);_(* "-"_);_(@_)</c:formatCode>
                <c:ptCount val="22"/>
                <c:pt idx="0">
                  <c:v>150</c:v>
                </c:pt>
                <c:pt idx="1">
                  <c:v>2780</c:v>
                </c:pt>
                <c:pt idx="2">
                  <c:v>5182</c:v>
                </c:pt>
                <c:pt idx="3">
                  <c:v>5222</c:v>
                </c:pt>
                <c:pt idx="4">
                  <c:v>2699</c:v>
                </c:pt>
                <c:pt idx="5">
                  <c:v>2878</c:v>
                </c:pt>
                <c:pt idx="6">
                  <c:v>1736</c:v>
                </c:pt>
                <c:pt idx="7">
                  <c:v>5438</c:v>
                </c:pt>
                <c:pt idx="8">
                  <c:v>750</c:v>
                </c:pt>
                <c:pt idx="9">
                  <c:v>12356</c:v>
                </c:pt>
                <c:pt idx="10">
                  <c:v>2411</c:v>
                </c:pt>
                <c:pt idx="11">
                  <c:v>2538</c:v>
                </c:pt>
                <c:pt idx="12">
                  <c:v>2660</c:v>
                </c:pt>
                <c:pt idx="13">
                  <c:v>5077</c:v>
                </c:pt>
                <c:pt idx="14">
                  <c:v>308</c:v>
                </c:pt>
                <c:pt idx="15">
                  <c:v>4328</c:v>
                </c:pt>
                <c:pt idx="16">
                  <c:v>0</c:v>
                </c:pt>
                <c:pt idx="17">
                  <c:v>0</c:v>
                </c:pt>
                <c:pt idx="18">
                  <c:v>3244</c:v>
                </c:pt>
                <c:pt idx="19">
                  <c:v>9988</c:v>
                </c:pt>
                <c:pt idx="20">
                  <c:v>11600</c:v>
                </c:pt>
                <c:pt idx="21">
                  <c:v>199470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3-40DC-A29F-0046DABC5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'23'!$AD$6:$AD$27</c:f>
              <c:strCache>
                <c:ptCount val="22"/>
                <c:pt idx="0">
                  <c:v>0%</c:v>
                </c:pt>
                <c:pt idx="1">
                  <c:v>46%</c:v>
                </c:pt>
                <c:pt idx="2">
                  <c:v>46%</c:v>
                </c:pt>
                <c:pt idx="3">
                  <c:v>46%</c:v>
                </c:pt>
                <c:pt idx="4">
                  <c:v>46%</c:v>
                </c:pt>
                <c:pt idx="5">
                  <c:v>46%</c:v>
                </c:pt>
                <c:pt idx="6">
                  <c:v>0%</c:v>
                </c:pt>
                <c:pt idx="7">
                  <c:v>46%</c:v>
                </c:pt>
                <c:pt idx="8">
                  <c:v>0%</c:v>
                </c:pt>
                <c:pt idx="9">
                  <c:v>0%</c:v>
                </c:pt>
                <c:pt idx="10">
                  <c:v>46%</c:v>
                </c:pt>
                <c:pt idx="11">
                  <c:v>46%</c:v>
                </c:pt>
                <c:pt idx="12">
                  <c:v>38%</c:v>
                </c:pt>
                <c:pt idx="13">
                  <c:v>0%</c:v>
                </c:pt>
                <c:pt idx="14">
                  <c:v>21%</c:v>
                </c:pt>
                <c:pt idx="15">
                  <c:v>0%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'23'!$AD$6:$AD$27</c:f>
              <c:numCache>
                <c:formatCode>0%</c:formatCode>
                <c:ptCount val="22"/>
                <c:pt idx="0">
                  <c:v>0</c:v>
                </c:pt>
                <c:pt idx="1">
                  <c:v>0.45833333333333331</c:v>
                </c:pt>
                <c:pt idx="2">
                  <c:v>0.45833333333333331</c:v>
                </c:pt>
                <c:pt idx="3">
                  <c:v>0.45833333333333331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</c:v>
                </c:pt>
                <c:pt idx="7">
                  <c:v>0.45833333333333331</c:v>
                </c:pt>
                <c:pt idx="8">
                  <c:v>0</c:v>
                </c:pt>
                <c:pt idx="9">
                  <c:v>0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0.375</c:v>
                </c:pt>
                <c:pt idx="13">
                  <c:v>0</c:v>
                </c:pt>
                <c:pt idx="14">
                  <c:v>0.20833333333333334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A-4F89-92BB-9073FB781F9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AA-4F89-92BB-9073FB781F9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'23'!$D$6:$D$27</c:f>
              <c:strCache>
                <c:ptCount val="21"/>
                <c:pt idx="0">
                  <c:v>F/A</c:v>
                </c:pt>
                <c:pt idx="1">
                  <c:v>SLIDER</c:v>
                </c:pt>
                <c:pt idx="2">
                  <c:v>BASE</c:v>
                </c:pt>
                <c:pt idx="3">
                  <c:v>STOPPPER</c:v>
                </c:pt>
                <c:pt idx="4">
                  <c:v>STOPPPER</c:v>
                </c:pt>
                <c:pt idx="5">
                  <c:v>STOPPPER</c:v>
                </c:pt>
                <c:pt idx="6">
                  <c:v>BASE</c:v>
                </c:pt>
                <c:pt idx="7">
                  <c:v>STOPPPER</c:v>
                </c:pt>
                <c:pt idx="8">
                  <c:v>U/BASE</c:v>
                </c:pt>
                <c:pt idx="9">
                  <c:v>COVER</c:v>
                </c:pt>
                <c:pt idx="10">
                  <c:v>ACTUATOR</c:v>
                </c:pt>
                <c:pt idx="11">
                  <c:v>IC GUIDE</c:v>
                </c:pt>
                <c:pt idx="12">
                  <c:v>ACTUATOR</c:v>
                </c:pt>
                <c:pt idx="13">
                  <c:v>STOPPPER</c:v>
                </c:pt>
                <c:pt idx="14">
                  <c:v>BASE</c:v>
                </c:pt>
                <c:pt idx="18">
                  <c:v>SLIDER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'23'!$AE$6:$AE$27</c:f>
              <c:numCache>
                <c:formatCode>0%</c:formatCode>
                <c:ptCount val="22"/>
                <c:pt idx="0">
                  <c:v>0.19318181818181818</c:v>
                </c:pt>
                <c:pt idx="1">
                  <c:v>0.19318181818181818</c:v>
                </c:pt>
                <c:pt idx="2">
                  <c:v>0.19318181818181818</c:v>
                </c:pt>
                <c:pt idx="3">
                  <c:v>0.19318181818181818</c:v>
                </c:pt>
                <c:pt idx="4">
                  <c:v>0.19318181818181818</c:v>
                </c:pt>
                <c:pt idx="5">
                  <c:v>0.19318181818181818</c:v>
                </c:pt>
                <c:pt idx="6">
                  <c:v>0.19318181818181818</c:v>
                </c:pt>
                <c:pt idx="7">
                  <c:v>0.19318181818181818</c:v>
                </c:pt>
                <c:pt idx="8">
                  <c:v>0.19318181818181818</c:v>
                </c:pt>
                <c:pt idx="9">
                  <c:v>0.19318181818181818</c:v>
                </c:pt>
                <c:pt idx="10">
                  <c:v>0.19318181818181818</c:v>
                </c:pt>
                <c:pt idx="11">
                  <c:v>0.19318181818181818</c:v>
                </c:pt>
                <c:pt idx="12">
                  <c:v>0.19318181818181818</c:v>
                </c:pt>
                <c:pt idx="13">
                  <c:v>0.19318181818181818</c:v>
                </c:pt>
                <c:pt idx="14">
                  <c:v>0.19318181818181818</c:v>
                </c:pt>
                <c:pt idx="15">
                  <c:v>0.19318181818181818</c:v>
                </c:pt>
                <c:pt idx="16">
                  <c:v>0.19318181818181818</c:v>
                </c:pt>
                <c:pt idx="17">
                  <c:v>0.19318181818181818</c:v>
                </c:pt>
                <c:pt idx="18">
                  <c:v>0.19318181818181818</c:v>
                </c:pt>
                <c:pt idx="19">
                  <c:v>0.19318181818181818</c:v>
                </c:pt>
                <c:pt idx="20">
                  <c:v>0.19318181818181818</c:v>
                </c:pt>
                <c:pt idx="21">
                  <c:v>0.19318181818181818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A-4F89-92BB-9073FB78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5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0.xml"/><Relationship Id="rId5" Type="http://schemas.openxmlformats.org/officeDocument/2006/relationships/chart" Target="../charts/chart99.xml"/><Relationship Id="rId4" Type="http://schemas.openxmlformats.org/officeDocument/2006/relationships/chart" Target="../charts/chart98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0.xml"/><Relationship Id="rId5" Type="http://schemas.openxmlformats.org/officeDocument/2006/relationships/chart" Target="../charts/chart109.xml"/><Relationship Id="rId4" Type="http://schemas.openxmlformats.org/officeDocument/2006/relationships/chart" Target="../charts/chart108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6" Type="http://schemas.openxmlformats.org/officeDocument/2006/relationships/chart" Target="../charts/chart115.xml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6" Type="http://schemas.openxmlformats.org/officeDocument/2006/relationships/chart" Target="../charts/chart120.xml"/><Relationship Id="rId5" Type="http://schemas.openxmlformats.org/officeDocument/2006/relationships/chart" Target="../charts/chart119.xml"/><Relationship Id="rId4" Type="http://schemas.openxmlformats.org/officeDocument/2006/relationships/chart" Target="../charts/chart118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chart" Target="../charts/chart125.xml"/><Relationship Id="rId5" Type="http://schemas.openxmlformats.org/officeDocument/2006/relationships/chart" Target="../charts/chart124.xml"/><Relationship Id="rId4" Type="http://schemas.openxmlformats.org/officeDocument/2006/relationships/chart" Target="../charts/chart1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27.xml"/><Relationship Id="rId1" Type="http://schemas.openxmlformats.org/officeDocument/2006/relationships/chart" Target="../charts/chart126.xml"/><Relationship Id="rId6" Type="http://schemas.openxmlformats.org/officeDocument/2006/relationships/chart" Target="../charts/chart130.xml"/><Relationship Id="rId5" Type="http://schemas.openxmlformats.org/officeDocument/2006/relationships/chart" Target="../charts/chart129.xml"/><Relationship Id="rId4" Type="http://schemas.openxmlformats.org/officeDocument/2006/relationships/chart" Target="../charts/chart128.xml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Relationship Id="rId6" Type="http://schemas.openxmlformats.org/officeDocument/2006/relationships/chart" Target="../charts/chart135.xml"/><Relationship Id="rId5" Type="http://schemas.openxmlformats.org/officeDocument/2006/relationships/chart" Target="../charts/chart134.xml"/><Relationship Id="rId4" Type="http://schemas.openxmlformats.org/officeDocument/2006/relationships/chart" Target="../charts/chart133.xml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37.xml"/><Relationship Id="rId1" Type="http://schemas.openxmlformats.org/officeDocument/2006/relationships/chart" Target="../charts/chart136.xml"/><Relationship Id="rId6" Type="http://schemas.openxmlformats.org/officeDocument/2006/relationships/chart" Target="../charts/chart140.xml"/><Relationship Id="rId5" Type="http://schemas.openxmlformats.org/officeDocument/2006/relationships/chart" Target="../charts/chart139.xml"/><Relationship Id="rId4" Type="http://schemas.openxmlformats.org/officeDocument/2006/relationships/chart" Target="../charts/chart138.xml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2.xml"/><Relationship Id="rId1" Type="http://schemas.openxmlformats.org/officeDocument/2006/relationships/chart" Target="../charts/chart14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681C57-FBF8-406E-81B2-40B8424C5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84371DD-2C4F-47E4-B999-8037C95CE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EFA6446-5448-4A68-A607-A368CFD3F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53070AC-8592-406D-B266-15BCD231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EDB1E31-A910-4FF3-96B3-EFF7AB4C9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62BD9942-AE2F-4824-BA93-76DF81772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BEB45EF-F542-41A0-88C2-A030CB42C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F851D1F-CF35-4FF5-9892-43B18E8FA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03C015B-5675-468C-AA81-E0E135E4F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34055933-5193-4171-9E0E-A8478AA2E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31682CD-B622-4039-9CFF-A49E8BD28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EEF36BF-2BB0-4788-A1AF-702F67C0C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2E8A639-BB89-4B8F-9209-BA5816C6B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AE02C56-9145-4640-B35A-C559E6EC3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D4B2AD-D652-4422-8141-BDFB24217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9627B19-9BC8-4EEB-AA95-16A1198B5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900B46A-E870-406B-AC4B-439754AB0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8B4DB08-826D-45AA-9BE6-EE9DC227B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6095A71-5721-4E21-9A3B-105685A2C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FE2A2415-82EB-4A34-9D9D-C8061F5EE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99C69AA-4470-4812-B925-98DAF472F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A72F096-27C3-4254-86E9-EBEF32F18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573EDBA-FE16-44A7-BE32-8FBBAF2FF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0DC1D2A-A709-40DE-87B8-A86F4267A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3FD5111-337F-4890-95AB-AC98DBFC6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CC6070F-E9CC-4BA1-A7D1-04B4DABA5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8CB4FA5-5788-4CA8-9C84-020C1C78B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9557F4F-49D6-49AB-9478-7B072FA30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F6B401-5ADB-485F-9FEC-CD6D8B850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5C23517-8983-4877-BA94-5BB044C8B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9F1CFB6-98ED-435A-B466-A6201C2D2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9758895-FB0D-4BB7-817E-5131F5430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1271379-8C81-4D6E-A455-646C04356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9799BA18-F68B-4102-96B4-815015CE3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45</xdr:row>
      <xdr:rowOff>0</xdr:rowOff>
    </xdr:from>
    <xdr:to>
      <xdr:col>29</xdr:col>
      <xdr:colOff>476250</xdr:colOff>
      <xdr:row>53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E652BCB-4118-4B03-8534-92CA5914A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4AD70B-CD9B-4D35-A8A0-26A3EED0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CD52199-5775-44CC-BC6D-CD5E7BD20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3B4DC6F5-CB26-4DDB-9835-BC93721D0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2D2D96A-6E02-4A7D-B1D2-AAB3B8FCA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52B2B3C-E7F2-4B17-9C77-7887D3F52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3959334-5AA5-4C92-851F-73B107A38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46</xdr:row>
      <xdr:rowOff>0</xdr:rowOff>
    </xdr:from>
    <xdr:to>
      <xdr:col>29</xdr:col>
      <xdr:colOff>476250</xdr:colOff>
      <xdr:row>54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6BA5422-3393-46DE-A0C4-6A4394F8B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262E257-BBB8-493A-938F-56048740B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CECA025-2BDE-401A-BBE0-CC05FE904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A723B4A-9BA2-4994-A4A0-269262E9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23FEE11-D5E7-4D29-93CB-859C87337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8329BDF-CC3E-47C4-A4DE-39CEC1D20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F7EF6064-A5C1-4ACF-8585-47C8575CB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45</xdr:row>
      <xdr:rowOff>0</xdr:rowOff>
    </xdr:from>
    <xdr:to>
      <xdr:col>29</xdr:col>
      <xdr:colOff>476250</xdr:colOff>
      <xdr:row>53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832AEB4-C79D-4C82-BD74-1AD5171A4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073D7E-84A0-4EB3-B1EA-3EE94C4CC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F9E0320-E1F9-4553-BFFD-AD168274B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6118551-8557-4EA8-B2B8-20AFCF463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5D36EA4-E47F-4553-A30B-28F8FC11F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93B99AC-59D5-4458-A230-C3A1548C4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6BB4AE9-09B3-4BB9-8F06-E334FC2EA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46</xdr:row>
      <xdr:rowOff>0</xdr:rowOff>
    </xdr:from>
    <xdr:to>
      <xdr:col>29</xdr:col>
      <xdr:colOff>476250</xdr:colOff>
      <xdr:row>54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956F07B-730F-4DFF-BB53-5CF377A54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B83EC8F-B79B-45EE-AAF2-F3198F1A7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E04D8BA-6B10-46E6-8B58-EFD1F86D9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CDCA57B-2FDA-4F3E-957C-9D0A91348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43CE880-B1A3-4D66-877E-9CC38397C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911FECF-C48D-4C9D-A2C7-FB7E72126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2B5EA2B-F979-4789-A557-F5B5E9977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3AFC66A-2C3F-48FC-8376-C6DB02328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491949-2CFA-44FF-82D0-DBF9D8952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52112F-D75E-426B-9D4D-20395EA70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2611E665-5E4B-4E6E-897A-C7345AC4A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BD6E24D-6B96-4F28-B161-B243A0F81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FC21D25-C8A6-40F8-8B8E-C958006DF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F89B626-4E4A-4882-A0BF-6C693CBCC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3F7E98A-B93A-42F5-A3EC-A4A01B383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7D6624-EA1B-4766-84E0-63F925EFB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07409B5-0247-4BD2-89BE-51E03D30D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41DF51B-4634-4986-8EB8-18B7C04F0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D1CD198-DBB7-4486-B758-8718888E0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4F1DAF-6783-4A37-926D-4DD62763C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F1914E27-53AD-4EA3-ADF9-B8F699787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D9339CB-4966-452B-B0F9-07672141E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B93E475-74E1-431B-9006-BE77CA5A9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9ECD981-6D00-448C-929E-281AC38EC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6E4B3DC6-069E-4391-B8A4-FB1791AC5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5FE850E-6240-40D1-AD29-CF3F2DED7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0500637-B4AC-4C02-954C-A75EEF8B7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D1FB482-07ED-44D6-A63A-C1B3132E9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90D7FCB-4A3D-4D15-AFB5-E69FF5D6F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26AEF15-9C7A-49C6-A745-754109B50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CC709E-5712-4834-A8D7-F7C28D25C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B642938-31DA-436E-A523-AAD660B3E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2599524-3481-4330-B627-E0CE031D4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6CCF253-C531-4C92-8ED1-A7E72EC76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5CE3172-F551-420C-9AAC-1522F4AFA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45</xdr:row>
      <xdr:rowOff>0</xdr:rowOff>
    </xdr:from>
    <xdr:to>
      <xdr:col>29</xdr:col>
      <xdr:colOff>476250</xdr:colOff>
      <xdr:row>53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7D22DF3-E894-44CD-8A29-8D1553751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21DC88-0622-46FD-BE1D-FCF4B6AA3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DAF9BF2-F32C-4A63-AF06-73C0BB7D7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9CFDA3D7-9BC4-40A2-B099-4EDFB4B1D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6476040-382F-440A-9507-CA128063F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A7003AA-A1EF-4CA9-94CB-1B51C2D5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3C504A-EE15-4C6B-9E17-FF9854AF4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46</xdr:row>
      <xdr:rowOff>0</xdr:rowOff>
    </xdr:from>
    <xdr:to>
      <xdr:col>29</xdr:col>
      <xdr:colOff>476250</xdr:colOff>
      <xdr:row>54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5C6B966-7DB0-4356-90E8-32A04F596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EF771E-2F27-4C18-8E33-209B4BED8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4F09F59-F374-4961-8851-A694AAF48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873A29D-7968-41A9-99CD-FE1A15DB9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18A7E26-EFEE-41C5-A7C4-66EFAAAD0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1918309-5834-467C-BAB9-57EBE766D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CF3097C-4AAE-4FC8-8056-8D6A192B8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4257D88-0672-4202-8FB2-400FB0D47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B4FE43F-E0E3-4E5F-AABD-63BDCA6B5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CEDDEDC-1516-4A5C-8E6D-F0E6C9880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96EC65C-4471-4F28-A99D-147BEDDA6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1475B6C-F959-4F06-A186-5B0CA5171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03CA16A-31AD-4D32-BC3D-8D0859495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7E53AE-FCC3-46FE-9DA0-6B2F98391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45</xdr:row>
      <xdr:rowOff>0</xdr:rowOff>
    </xdr:from>
    <xdr:to>
      <xdr:col>29</xdr:col>
      <xdr:colOff>476250</xdr:colOff>
      <xdr:row>53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1515D1E-7D44-40C8-90CD-8C41F2F89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3D36B7-EC00-45A0-9569-B1D0CE8CD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01A036F-73C7-4568-8A34-E58B0E7B3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D1A008B-7E09-470B-988C-E21B7E125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8B94E9C-85DF-4686-AB7C-EE82C5551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41A54A1-EAC4-42D3-8E6F-A33F00B30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CBF6BE1-B6FC-4297-8C7F-E507071E5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8E2A5CC-7208-46A2-BC16-EA1A84BF1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33FA7F2-7CA9-40B2-9584-4CBB277AF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C02C461-48A5-4888-BE8F-041E9D328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10D1A3B-AAAA-4F1A-9220-9E56218A9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8547A70-FDEF-419A-A30F-C87F5E84A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431530F-6615-4D62-957E-6BD765D8C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6777753F-6615-40C0-A9BC-ABC0DBC73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4CDDECF-8C93-4DBB-BE0B-D12D5B3B4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E860E33-E599-46DB-9924-AA8E79FE9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8A23F15-FB59-48CD-B5C3-20CD46011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BD7CD96D-F14E-4C12-A168-010B82EC1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BF922D8-3A41-4B2A-B449-40B69573E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5108975-0002-4EC5-9F3D-95F38F2F0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B6D89C96-5D29-4071-AEBB-59CC835DA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47F87DE-1D71-4CBC-86BB-89B3D5712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7D4E2C-2C90-4523-B5D5-242CBE39F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E7251F4-96D3-4958-91A2-B68DA057C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3D7F5A6-488F-43CF-871F-D9CE833AA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B94D108-6537-4042-A150-52B09D73A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A3FA924-56A4-4F1D-A494-390B79446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F6FF7E7-B7D2-42D5-8776-BBCA0AFD8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45</xdr:row>
      <xdr:rowOff>0</xdr:rowOff>
    </xdr:from>
    <xdr:to>
      <xdr:col>29</xdr:col>
      <xdr:colOff>476250</xdr:colOff>
      <xdr:row>53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893D0CD-3BEA-4BA0-8910-E9406E6E0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A0F27B2-3B6E-46DD-A81B-F44516CB3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CBCB1B1-365F-49C3-BCB8-151C4500C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E684244-30AD-4F3F-B375-8BC85C68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B14A751-FEFC-4E94-9181-9A27F248B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0199330-90F0-431A-8955-BBFF4CCF0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B3B4F4C-381F-4C23-8CE0-A3921A80D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0ECF70D-0B86-4DFD-8A98-EE527B61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C59CEC-3413-4E27-A3F1-641C03A18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210352-6C0A-49D4-B6B6-BAD06D3B2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3633B27-7006-42C5-8BC9-1AD3D87ED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83895D9-3CF3-4FBF-B7F5-50B7C9AA5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DA0E6F2-4481-4065-89E0-E791C6C80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DB682F-3174-485A-B75C-5262F4913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45</xdr:row>
      <xdr:rowOff>0</xdr:rowOff>
    </xdr:from>
    <xdr:to>
      <xdr:col>29</xdr:col>
      <xdr:colOff>476250</xdr:colOff>
      <xdr:row>53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B0B9DA6-792D-4021-87D8-3C2BE4234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292313-FCC5-4648-A195-BA592E017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ECD2F7-9406-4A92-81D0-B98319896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F744500-ADA0-4643-B607-FEDA9F5DF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C88AEF5-73B1-47CE-BE8E-CC82DABD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6E62FFA-0559-449A-9827-15071B1C8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02BFA22-3E93-453C-876B-2B9F1A533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115AA77-3F4D-4AFE-A448-71FBA62CF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77962E-5E10-452D-969A-B827FD6B8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DF9F64-361D-4EEA-BA3F-886B66955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D4956274-030D-4AC0-B61A-6D0C5B908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F4AD274-4435-4765-82E1-B0A6EA667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2DA5FC-2CE9-4326-BEAF-80987AB99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D0E1978-8C8E-48D1-98A1-390EC14FE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54C31DC-7A11-4DBE-A167-1E2A02AF4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559410B-8A03-46B0-9794-2516F2EDB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1CEF597-A660-470B-9A91-C25F5F5B0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5CEBD9B-2D50-4BED-8666-B5A11686D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60CDD28-90DD-4BDD-8377-749163CE7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4B19D74-EC04-4135-BF21-193BD7EF4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FCF073DC-6987-487E-BDBF-A20BDBC44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759F08A-839F-4F2F-9152-CE9CEF606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4428F1E-8C36-494C-9DA6-8B0C7385D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EAFF1C6-C1FD-4DFB-90DA-55131C036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DDB5368-AF2F-4050-BA3E-77049CBE2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EF2D22A-1237-4EF6-A8EF-1440152D2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29DABBA-58E3-4FE0-905B-D3C21DD6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6DA9E09-6DD8-44B5-A357-67CC50AB4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0CDC141-FC0A-4ABC-87F5-CEED7C414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104775</xdr:rowOff>
    </xdr:from>
    <xdr:to>
      <xdr:col>16</xdr:col>
      <xdr:colOff>66675</xdr:colOff>
      <xdr:row>38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26</xdr:row>
      <xdr:rowOff>123825</xdr:rowOff>
    </xdr:from>
    <xdr:to>
      <xdr:col>32</xdr:col>
      <xdr:colOff>371474</xdr:colOff>
      <xdr:row>38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10D1C38-0011-4569-9FDD-3F07AA34A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C90374B-3A16-402D-A7C8-F94A22B5C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805D230-66EE-4255-8836-2BD2DCB10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E7E6A51-4B39-40A4-865E-A45BD8BC3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C5C1CDF-7F81-41ED-AF53-3F345D3ED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E80DFCB-F799-4433-9F6D-D1849C9AB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45</xdr:row>
      <xdr:rowOff>0</xdr:rowOff>
    </xdr:from>
    <xdr:to>
      <xdr:col>29</xdr:col>
      <xdr:colOff>476250</xdr:colOff>
      <xdr:row>53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D492757-135B-4C2B-A041-B34BC9362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B9D58E5-A266-4F73-8EF3-7432104D0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9DFC2B-6C03-4E22-AF9C-1FABF16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6D94A80-F0DC-47F3-B605-57C40C675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0921E13-67E7-4E65-B254-8EC3FEC78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AA5C63-0BC5-4620-9E66-8772F461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3934D9B-8C51-4D55-8550-755F3C8C4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7628622-B1E6-4ABA-86AF-F073E028D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BDF2-965C-40D3-8D59-5E8401F2ECE9}">
  <dimension ref="A1:AF93"/>
  <sheetViews>
    <sheetView view="pageBreakPreview" zoomScale="70" zoomScaleNormal="72" zoomScaleSheetLayoutView="70" workbookViewId="0">
      <selection activeCell="A90" sqref="A90:B9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188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121" t="s">
        <v>17</v>
      </c>
      <c r="L5" s="121" t="s">
        <v>18</v>
      </c>
      <c r="M5" s="121" t="s">
        <v>19</v>
      </c>
      <c r="N5" s="12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112</v>
      </c>
      <c r="D6" s="52" t="s">
        <v>127</v>
      </c>
      <c r="E6" s="53" t="s">
        <v>180</v>
      </c>
      <c r="F6" s="30" t="s">
        <v>141</v>
      </c>
      <c r="G6" s="12">
        <v>2</v>
      </c>
      <c r="H6" s="13">
        <v>24</v>
      </c>
      <c r="I6" s="31">
        <v>185000</v>
      </c>
      <c r="J6" s="14">
        <v>11584</v>
      </c>
      <c r="K6" s="15">
        <f>L6+5840+11504+11434+11462+11458</f>
        <v>63282</v>
      </c>
      <c r="L6" s="15">
        <f>2847*2+2945*2</f>
        <v>11584</v>
      </c>
      <c r="M6" s="15">
        <f t="shared" ref="M6:M27" si="0">L6-N6</f>
        <v>11584</v>
      </c>
      <c r="N6" s="15">
        <v>0</v>
      </c>
      <c r="O6" s="58">
        <f t="shared" ref="O6:O28" si="1">IF(L6=0,"0",N6/L6)</f>
        <v>0</v>
      </c>
      <c r="P6" s="39">
        <f t="shared" ref="P6:P27" si="2">IF(L6=0,"0",(24-Q6))</f>
        <v>24</v>
      </c>
      <c r="Q6" s="40">
        <f t="shared" ref="Q6:Q27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27" si="4">IF(J6=0,"0",(L6/J6))</f>
        <v>1</v>
      </c>
      <c r="AC6" s="9">
        <f t="shared" ref="AC6:AC27" si="5">IF(P6=0,"0",(P6/24))</f>
        <v>1</v>
      </c>
      <c r="AD6" s="10">
        <f t="shared" ref="AD6:AD27" si="6">AC6*AB6*(1-O6)</f>
        <v>1</v>
      </c>
      <c r="AE6" s="36">
        <f t="shared" ref="AE6:AE27" si="7">$AD$28</f>
        <v>0.41098484848484845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163</v>
      </c>
      <c r="D7" s="52"/>
      <c r="E7" s="53" t="s">
        <v>185</v>
      </c>
      <c r="F7" s="30" t="s">
        <v>169</v>
      </c>
      <c r="G7" s="12">
        <v>1</v>
      </c>
      <c r="H7" s="13">
        <v>24</v>
      </c>
      <c r="I7" s="31">
        <v>1100</v>
      </c>
      <c r="J7" s="14">
        <v>1500</v>
      </c>
      <c r="K7" s="15">
        <f>L7+1500</f>
        <v>1500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0.41098484848484845</v>
      </c>
      <c r="AF7" s="84">
        <f t="shared" si="8"/>
        <v>2</v>
      </c>
    </row>
    <row r="8" spans="1:32" ht="27" customHeight="1">
      <c r="A8" s="96">
        <v>3</v>
      </c>
      <c r="B8" s="11" t="s">
        <v>57</v>
      </c>
      <c r="C8" s="34" t="s">
        <v>116</v>
      </c>
      <c r="D8" s="52" t="s">
        <v>123</v>
      </c>
      <c r="E8" s="53" t="s">
        <v>170</v>
      </c>
      <c r="F8" s="30" t="s">
        <v>165</v>
      </c>
      <c r="G8" s="12">
        <v>1</v>
      </c>
      <c r="H8" s="13">
        <v>24</v>
      </c>
      <c r="I8" s="7">
        <v>40000</v>
      </c>
      <c r="J8" s="14">
        <v>3474</v>
      </c>
      <c r="K8" s="15">
        <f>L8+3374+6197+4609</f>
        <v>17654</v>
      </c>
      <c r="L8" s="15">
        <f>3026+448</f>
        <v>3474</v>
      </c>
      <c r="M8" s="15">
        <f t="shared" si="0"/>
        <v>3474</v>
      </c>
      <c r="N8" s="15">
        <v>0</v>
      </c>
      <c r="O8" s="58">
        <f t="shared" si="1"/>
        <v>0</v>
      </c>
      <c r="P8" s="39">
        <f t="shared" si="2"/>
        <v>15</v>
      </c>
      <c r="Q8" s="40">
        <f t="shared" si="3"/>
        <v>9</v>
      </c>
      <c r="R8" s="7"/>
      <c r="S8" s="6">
        <v>9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0.625</v>
      </c>
      <c r="AD8" s="10">
        <f t="shared" si="6"/>
        <v>0.625</v>
      </c>
      <c r="AE8" s="36">
        <f t="shared" si="7"/>
        <v>0.41098484848484845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116</v>
      </c>
      <c r="D9" s="52" t="s">
        <v>142</v>
      </c>
      <c r="E9" s="53" t="s">
        <v>184</v>
      </c>
      <c r="F9" s="30" t="s">
        <v>168</v>
      </c>
      <c r="G9" s="12">
        <v>1</v>
      </c>
      <c r="H9" s="13">
        <v>24</v>
      </c>
      <c r="I9" s="7">
        <v>6000</v>
      </c>
      <c r="J9" s="14">
        <v>3360</v>
      </c>
      <c r="K9" s="15">
        <f>L9+3625</f>
        <v>6985</v>
      </c>
      <c r="L9" s="15">
        <f>774+2586</f>
        <v>3360</v>
      </c>
      <c r="M9" s="15">
        <f t="shared" si="0"/>
        <v>3360</v>
      </c>
      <c r="N9" s="15">
        <v>0</v>
      </c>
      <c r="O9" s="58">
        <f t="shared" si="1"/>
        <v>0</v>
      </c>
      <c r="P9" s="39">
        <f t="shared" si="2"/>
        <v>15</v>
      </c>
      <c r="Q9" s="40">
        <f t="shared" si="3"/>
        <v>9</v>
      </c>
      <c r="R9" s="7"/>
      <c r="S9" s="6">
        <v>9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0.625</v>
      </c>
      <c r="AD9" s="10">
        <f t="shared" si="6"/>
        <v>0.625</v>
      </c>
      <c r="AE9" s="36">
        <f t="shared" si="7"/>
        <v>0.41098484848484845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163</v>
      </c>
      <c r="D10" s="52"/>
      <c r="E10" s="53" t="s">
        <v>177</v>
      </c>
      <c r="F10" s="30" t="s">
        <v>139</v>
      </c>
      <c r="G10" s="33">
        <v>2</v>
      </c>
      <c r="H10" s="35">
        <v>24</v>
      </c>
      <c r="I10" s="7">
        <v>38500</v>
      </c>
      <c r="J10" s="14">
        <v>10206</v>
      </c>
      <c r="K10" s="15">
        <f>L10+8004+11244+11966+8768+7662+10808</f>
        <v>68658</v>
      </c>
      <c r="L10" s="15">
        <f>2210*2+2893*2</f>
        <v>10206</v>
      </c>
      <c r="M10" s="15">
        <f t="shared" si="0"/>
        <v>10206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6"/>
        <v>1</v>
      </c>
      <c r="AE10" s="36">
        <f t="shared" si="7"/>
        <v>0.41098484848484845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112</v>
      </c>
      <c r="D11" s="52" t="s">
        <v>123</v>
      </c>
      <c r="E11" s="53" t="s">
        <v>179</v>
      </c>
      <c r="F11" s="30" t="s">
        <v>128</v>
      </c>
      <c r="G11" s="33">
        <v>2</v>
      </c>
      <c r="H11" s="35">
        <v>24</v>
      </c>
      <c r="I11" s="7">
        <v>230000</v>
      </c>
      <c r="J11" s="14">
        <v>1460</v>
      </c>
      <c r="K11" s="15">
        <f>L11+10954+11864+11140+11874+1460</f>
        <v>47292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>
        <v>24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si="6"/>
        <v>0</v>
      </c>
      <c r="AE11" s="36">
        <f t="shared" si="7"/>
        <v>0.41098484848484845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116</v>
      </c>
      <c r="D12" s="52" t="s">
        <v>115</v>
      </c>
      <c r="E12" s="53" t="s">
        <v>176</v>
      </c>
      <c r="F12" s="30" t="s">
        <v>148</v>
      </c>
      <c r="G12" s="12">
        <v>1</v>
      </c>
      <c r="H12" s="13">
        <v>22</v>
      </c>
      <c r="I12" s="31">
        <v>80000</v>
      </c>
      <c r="J12" s="5">
        <v>5313</v>
      </c>
      <c r="K12" s="15">
        <f>L12+3050+5463+5497+6377+5244+5460+5580+5482+5489+5556+3742+5513+5475+4332+5489</f>
        <v>83062</v>
      </c>
      <c r="L12" s="15">
        <f>2583+2730</f>
        <v>5313</v>
      </c>
      <c r="M12" s="15">
        <f t="shared" si="0"/>
        <v>5313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6"/>
        <v>1</v>
      </c>
      <c r="AE12" s="36">
        <f t="shared" si="7"/>
        <v>0.41098484848484845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123</v>
      </c>
      <c r="E13" s="53" t="s">
        <v>182</v>
      </c>
      <c r="F13" s="30" t="s">
        <v>130</v>
      </c>
      <c r="G13" s="33">
        <v>1</v>
      </c>
      <c r="H13" s="35">
        <v>35</v>
      </c>
      <c r="I13" s="7">
        <v>1000</v>
      </c>
      <c r="J13" s="14">
        <v>3204</v>
      </c>
      <c r="K13" s="15">
        <f>L13+3204</f>
        <v>3204</v>
      </c>
      <c r="L13" s="15"/>
      <c r="M13" s="15">
        <f t="shared" si="0"/>
        <v>0</v>
      </c>
      <c r="N13" s="15">
        <v>0</v>
      </c>
      <c r="O13" s="58" t="str">
        <f t="shared" si="1"/>
        <v>0</v>
      </c>
      <c r="P13" s="39" t="str">
        <f t="shared" si="2"/>
        <v>0</v>
      </c>
      <c r="Q13" s="40">
        <f t="shared" si="3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4"/>
        <v>0</v>
      </c>
      <c r="AC13" s="9">
        <f t="shared" si="5"/>
        <v>0</v>
      </c>
      <c r="AD13" s="10">
        <f t="shared" si="6"/>
        <v>0</v>
      </c>
      <c r="AE13" s="36">
        <f t="shared" si="7"/>
        <v>0.41098484848484845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112</v>
      </c>
      <c r="D14" s="52" t="s">
        <v>115</v>
      </c>
      <c r="E14" s="53" t="s">
        <v>181</v>
      </c>
      <c r="F14" s="30" t="s">
        <v>171</v>
      </c>
      <c r="G14" s="33">
        <v>1</v>
      </c>
      <c r="H14" s="35">
        <v>50</v>
      </c>
      <c r="I14" s="7">
        <v>500</v>
      </c>
      <c r="J14" s="5">
        <v>290</v>
      </c>
      <c r="K14" s="15">
        <f>L14</f>
        <v>290</v>
      </c>
      <c r="L14" s="15">
        <v>290</v>
      </c>
      <c r="M14" s="15">
        <f t="shared" si="0"/>
        <v>290</v>
      </c>
      <c r="N14" s="15">
        <v>0</v>
      </c>
      <c r="O14" s="58">
        <f t="shared" si="1"/>
        <v>0</v>
      </c>
      <c r="P14" s="39">
        <f t="shared" si="2"/>
        <v>6</v>
      </c>
      <c r="Q14" s="40">
        <f t="shared" si="3"/>
        <v>18</v>
      </c>
      <c r="R14" s="7"/>
      <c r="S14" s="6">
        <v>18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0.25</v>
      </c>
      <c r="AD14" s="10">
        <f t="shared" si="6"/>
        <v>0.25</v>
      </c>
      <c r="AE14" s="36">
        <f t="shared" si="7"/>
        <v>0.41098484848484845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12000</v>
      </c>
      <c r="J15" s="14">
        <v>12356</v>
      </c>
      <c r="K15" s="15">
        <f>L15+12356</f>
        <v>12356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0.41098484848484845</v>
      </c>
      <c r="AF15" s="84">
        <f t="shared" si="8"/>
        <v>10</v>
      </c>
    </row>
    <row r="16" spans="1:32" ht="30" customHeight="1">
      <c r="A16" s="112">
        <v>11</v>
      </c>
      <c r="B16" s="11" t="s">
        <v>57</v>
      </c>
      <c r="C16" s="34" t="s">
        <v>138</v>
      </c>
      <c r="D16" s="52" t="s">
        <v>115</v>
      </c>
      <c r="E16" s="53" t="s">
        <v>190</v>
      </c>
      <c r="F16" s="30" t="s">
        <v>139</v>
      </c>
      <c r="G16" s="12">
        <v>2</v>
      </c>
      <c r="H16" s="13">
        <v>24</v>
      </c>
      <c r="I16" s="7">
        <v>50000</v>
      </c>
      <c r="J16" s="14">
        <v>11860</v>
      </c>
      <c r="K16" s="15">
        <f>L16</f>
        <v>11860</v>
      </c>
      <c r="L16" s="15">
        <f>2720*2+3210*2</f>
        <v>11860</v>
      </c>
      <c r="M16" s="15">
        <f t="shared" si="0"/>
        <v>11860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6"/>
        <v>1</v>
      </c>
      <c r="AE16" s="36">
        <f t="shared" si="7"/>
        <v>0.41098484848484845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163</v>
      </c>
      <c r="D17" s="52"/>
      <c r="E17" s="53" t="s">
        <v>183</v>
      </c>
      <c r="F17" s="30" t="s">
        <v>169</v>
      </c>
      <c r="G17" s="12">
        <v>1</v>
      </c>
      <c r="H17" s="13">
        <v>24</v>
      </c>
      <c r="I17" s="7">
        <v>6000</v>
      </c>
      <c r="J17" s="14">
        <v>1472</v>
      </c>
      <c r="K17" s="15">
        <f>L17</f>
        <v>0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>
        <v>24</v>
      </c>
      <c r="T17" s="16"/>
      <c r="U17" s="16"/>
      <c r="V17" s="17"/>
      <c r="W17" s="5"/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0.41098484848484845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137</v>
      </c>
      <c r="E18" s="53" t="s">
        <v>191</v>
      </c>
      <c r="F18" s="30" t="s">
        <v>130</v>
      </c>
      <c r="G18" s="33">
        <v>1</v>
      </c>
      <c r="H18" s="35">
        <v>24</v>
      </c>
      <c r="I18" s="7">
        <v>180000</v>
      </c>
      <c r="J18" s="14">
        <v>9952</v>
      </c>
      <c r="K18" s="15">
        <f>L18</f>
        <v>9952</v>
      </c>
      <c r="L18" s="15">
        <f>2020*2+2956*2</f>
        <v>9952</v>
      </c>
      <c r="M18" s="15">
        <f t="shared" si="0"/>
        <v>9952</v>
      </c>
      <c r="N18" s="15">
        <v>0</v>
      </c>
      <c r="O18" s="58">
        <f t="shared" si="1"/>
        <v>0</v>
      </c>
      <c r="P18" s="39">
        <f t="shared" si="2"/>
        <v>23</v>
      </c>
      <c r="Q18" s="40">
        <f t="shared" si="3"/>
        <v>1</v>
      </c>
      <c r="R18" s="7"/>
      <c r="S18" s="6"/>
      <c r="T18" s="16">
        <v>1</v>
      </c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0.95833333333333337</v>
      </c>
      <c r="AD18" s="10">
        <f t="shared" si="6"/>
        <v>0.95833333333333337</v>
      </c>
      <c r="AE18" s="36">
        <f t="shared" si="7"/>
        <v>0.41098484848484845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112</v>
      </c>
      <c r="D19" s="52" t="s">
        <v>137</v>
      </c>
      <c r="E19" s="53" t="s">
        <v>145</v>
      </c>
      <c r="F19" s="30" t="s">
        <v>130</v>
      </c>
      <c r="G19" s="33">
        <v>1</v>
      </c>
      <c r="H19" s="35">
        <v>24</v>
      </c>
      <c r="I19" s="7">
        <v>54000</v>
      </c>
      <c r="J19" s="14">
        <v>2783</v>
      </c>
      <c r="K19" s="15">
        <f>L19+5079+5307+3503+1179+3568+5398+5390+5307+4716+2400+323+2119+4726+5252+4548+4887+1332+2129</f>
        <v>69946</v>
      </c>
      <c r="L19" s="15">
        <f>70+2713</f>
        <v>2783</v>
      </c>
      <c r="M19" s="15">
        <f t="shared" si="0"/>
        <v>2783</v>
      </c>
      <c r="N19" s="15">
        <v>0</v>
      </c>
      <c r="O19" s="58">
        <f t="shared" si="1"/>
        <v>0</v>
      </c>
      <c r="P19" s="39">
        <f t="shared" si="2"/>
        <v>14</v>
      </c>
      <c r="Q19" s="40">
        <f t="shared" si="3"/>
        <v>10</v>
      </c>
      <c r="R19" s="7"/>
      <c r="S19" s="6">
        <v>10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0.58333333333333337</v>
      </c>
      <c r="AD19" s="10">
        <f t="shared" si="6"/>
        <v>0.58333333333333337</v>
      </c>
      <c r="AE19" s="36">
        <f t="shared" si="7"/>
        <v>0.41098484848484845</v>
      </c>
      <c r="AF19" s="84">
        <f t="shared" si="8"/>
        <v>14</v>
      </c>
    </row>
    <row r="20" spans="1:32" ht="30" customHeight="1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128</v>
      </c>
      <c r="G20" s="12">
        <v>2</v>
      </c>
      <c r="H20" s="13">
        <v>24</v>
      </c>
      <c r="I20" s="7">
        <v>230000</v>
      </c>
      <c r="J20" s="14">
        <v>10236</v>
      </c>
      <c r="K20" s="15">
        <f>L20+7008+11154+9077+8768+10676+10588+2521+7242</f>
        <v>77270</v>
      </c>
      <c r="L20" s="15">
        <f>2477*2+2641*2</f>
        <v>10236</v>
      </c>
      <c r="M20" s="15">
        <f t="shared" si="0"/>
        <v>10236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0.41098484848484845</v>
      </c>
      <c r="AF20" s="84">
        <f t="shared" si="8"/>
        <v>15</v>
      </c>
    </row>
    <row r="21" spans="1:32" ht="27" customHeight="1">
      <c r="A21" s="96">
        <v>16</v>
      </c>
      <c r="B21" s="11" t="s">
        <v>57</v>
      </c>
      <c r="C21" s="11" t="s">
        <v>113</v>
      </c>
      <c r="D21" s="52"/>
      <c r="E21" s="53" t="s">
        <v>134</v>
      </c>
      <c r="F21" s="12" t="s">
        <v>114</v>
      </c>
      <c r="G21" s="12">
        <v>4</v>
      </c>
      <c r="H21" s="35">
        <v>20</v>
      </c>
      <c r="I21" s="7">
        <v>1000000</v>
      </c>
      <c r="J21" s="14">
        <v>56540</v>
      </c>
      <c r="K21" s="15">
        <f>L21+52608+61640+61384+61404+61548</f>
        <v>355124</v>
      </c>
      <c r="L21" s="15">
        <f>6478*4+7657*4</f>
        <v>56540</v>
      </c>
      <c r="M21" s="15">
        <f t="shared" si="0"/>
        <v>56540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0.41098484848484845</v>
      </c>
      <c r="AF21" s="84">
        <f t="shared" si="8"/>
        <v>16</v>
      </c>
    </row>
    <row r="22" spans="1:32" ht="27" customHeight="1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0.41098484848484845</v>
      </c>
      <c r="AF22" s="84">
        <f t="shared" si="8"/>
        <v>31</v>
      </c>
    </row>
    <row r="23" spans="1:32" ht="27" customHeight="1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0.41098484848484845</v>
      </c>
      <c r="AF23" s="84">
        <f t="shared" si="8"/>
        <v>32</v>
      </c>
    </row>
    <row r="24" spans="1:32" ht="27" customHeight="1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7084</v>
      </c>
      <c r="K24" s="15">
        <f>L24+4387+7770+5806+7905+7479+7369+7360+2397+6904+7208+7013+6976+6992+2652+6495+7026+7051+7084+4297</f>
        <v>120171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20">
        <v>24</v>
      </c>
      <c r="W24" s="5"/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0.41098484848484845</v>
      </c>
      <c r="AF24" s="84">
        <f t="shared" si="8"/>
        <v>33</v>
      </c>
    </row>
    <row r="25" spans="1:32" ht="27" customHeight="1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0.41098484848484845</v>
      </c>
      <c r="AF25" s="84">
        <f t="shared" si="8"/>
        <v>34</v>
      </c>
    </row>
    <row r="26" spans="1:32" ht="27" customHeight="1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0.41098484848484845</v>
      </c>
      <c r="AF26" s="84">
        <f t="shared" si="8"/>
        <v>35</v>
      </c>
    </row>
    <row r="27" spans="1:32" ht="27" customHeight="1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700000</v>
      </c>
      <c r="J27" s="14">
        <v>89792</v>
      </c>
      <c r="K27" s="15">
        <f>L27+326528+448864+89792</f>
        <v>865184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0.41098484848484845</v>
      </c>
      <c r="AF27" s="84">
        <f t="shared" si="8"/>
        <v>36</v>
      </c>
    </row>
    <row r="28" spans="1:32" ht="31.5" customHeight="1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9">SUM(I6:I27)</f>
        <v>3434100</v>
      </c>
      <c r="J28" s="19">
        <f t="shared" si="9"/>
        <v>264054</v>
      </c>
      <c r="K28" s="20">
        <f t="shared" si="9"/>
        <v>2353434</v>
      </c>
      <c r="L28" s="21">
        <f t="shared" si="9"/>
        <v>125598</v>
      </c>
      <c r="M28" s="20">
        <f t="shared" si="9"/>
        <v>125598</v>
      </c>
      <c r="N28" s="21">
        <f t="shared" si="9"/>
        <v>0</v>
      </c>
      <c r="O28" s="41">
        <f t="shared" si="1"/>
        <v>0</v>
      </c>
      <c r="P28" s="42">
        <f t="shared" ref="P28:AA28" si="10">SUM(P6:P27)</f>
        <v>217</v>
      </c>
      <c r="Q28" s="43">
        <f t="shared" si="10"/>
        <v>311</v>
      </c>
      <c r="R28" s="23">
        <f t="shared" si="10"/>
        <v>0</v>
      </c>
      <c r="S28" s="24">
        <f t="shared" si="10"/>
        <v>94</v>
      </c>
      <c r="T28" s="24">
        <f t="shared" si="10"/>
        <v>1</v>
      </c>
      <c r="U28" s="24">
        <f t="shared" si="10"/>
        <v>0</v>
      </c>
      <c r="V28" s="25">
        <f t="shared" si="10"/>
        <v>72</v>
      </c>
      <c r="W28" s="26">
        <f t="shared" si="10"/>
        <v>144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0</v>
      </c>
      <c r="AB28" s="28">
        <f>AVERAGE(AB6:AB27)</f>
        <v>0.55000000000000004</v>
      </c>
      <c r="AC28" s="4">
        <f>AVERAGE(AC6:AC27)</f>
        <v>0.41098484848484845</v>
      </c>
      <c r="AD28" s="4">
        <f>AVERAGE(AD6:AD27)</f>
        <v>0.41098484848484845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155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162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122" t="s">
        <v>46</v>
      </c>
      <c r="D57" s="122" t="s">
        <v>47</v>
      </c>
      <c r="E57" s="122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122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28" t="s">
        <v>116</v>
      </c>
      <c r="B58" s="529"/>
      <c r="C58" s="125" t="s">
        <v>156</v>
      </c>
      <c r="D58" s="125" t="s">
        <v>135</v>
      </c>
      <c r="E58" s="124" t="s">
        <v>170</v>
      </c>
      <c r="F58" s="530" t="s">
        <v>192</v>
      </c>
      <c r="G58" s="531"/>
      <c r="H58" s="531"/>
      <c r="I58" s="531"/>
      <c r="J58" s="531"/>
      <c r="K58" s="531"/>
      <c r="L58" s="531"/>
      <c r="M58" s="532"/>
      <c r="N58" s="138" t="s">
        <v>163</v>
      </c>
      <c r="O58" s="139" t="s">
        <v>164</v>
      </c>
      <c r="P58" s="544"/>
      <c r="Q58" s="545"/>
      <c r="R58" s="544" t="s">
        <v>183</v>
      </c>
      <c r="S58" s="546"/>
      <c r="T58" s="546"/>
      <c r="U58" s="545"/>
      <c r="V58" s="517" t="s">
        <v>120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28" t="s">
        <v>112</v>
      </c>
      <c r="B59" s="529"/>
      <c r="C59" s="125" t="s">
        <v>186</v>
      </c>
      <c r="D59" s="125" t="s">
        <v>115</v>
      </c>
      <c r="E59" s="124" t="s">
        <v>187</v>
      </c>
      <c r="F59" s="530" t="s">
        <v>166</v>
      </c>
      <c r="G59" s="531"/>
      <c r="H59" s="531"/>
      <c r="I59" s="531"/>
      <c r="J59" s="531"/>
      <c r="K59" s="531"/>
      <c r="L59" s="531"/>
      <c r="M59" s="532"/>
      <c r="N59" s="123" t="s">
        <v>112</v>
      </c>
      <c r="O59" s="130" t="s">
        <v>158</v>
      </c>
      <c r="P59" s="544" t="s">
        <v>115</v>
      </c>
      <c r="Q59" s="545"/>
      <c r="R59" s="544" t="s">
        <v>181</v>
      </c>
      <c r="S59" s="546"/>
      <c r="T59" s="546"/>
      <c r="U59" s="545"/>
      <c r="V59" s="517" t="s">
        <v>120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28" t="s">
        <v>112</v>
      </c>
      <c r="B60" s="529"/>
      <c r="C60" s="135" t="s">
        <v>161</v>
      </c>
      <c r="D60" s="135" t="s">
        <v>137</v>
      </c>
      <c r="E60" s="136" t="s">
        <v>145</v>
      </c>
      <c r="F60" s="530" t="s">
        <v>172</v>
      </c>
      <c r="G60" s="531"/>
      <c r="H60" s="531"/>
      <c r="I60" s="531"/>
      <c r="J60" s="531"/>
      <c r="K60" s="531"/>
      <c r="L60" s="531"/>
      <c r="M60" s="532"/>
      <c r="N60" s="137" t="s">
        <v>112</v>
      </c>
      <c r="O60" s="134" t="s">
        <v>195</v>
      </c>
      <c r="P60" s="544" t="s">
        <v>196</v>
      </c>
      <c r="Q60" s="545"/>
      <c r="R60" s="544" t="s">
        <v>193</v>
      </c>
      <c r="S60" s="546"/>
      <c r="T60" s="546"/>
      <c r="U60" s="545"/>
      <c r="V60" s="517" t="s">
        <v>194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112</v>
      </c>
      <c r="B61" s="533"/>
      <c r="C61" s="136" t="s">
        <v>167</v>
      </c>
      <c r="D61" s="136" t="s">
        <v>137</v>
      </c>
      <c r="E61" s="136" t="s">
        <v>191</v>
      </c>
      <c r="F61" s="530" t="s">
        <v>124</v>
      </c>
      <c r="G61" s="531"/>
      <c r="H61" s="531"/>
      <c r="I61" s="531"/>
      <c r="J61" s="531"/>
      <c r="K61" s="531"/>
      <c r="L61" s="531"/>
      <c r="M61" s="532"/>
      <c r="N61" s="123" t="s">
        <v>199</v>
      </c>
      <c r="O61" s="130" t="s">
        <v>200</v>
      </c>
      <c r="P61" s="544" t="s">
        <v>115</v>
      </c>
      <c r="Q61" s="545"/>
      <c r="R61" s="544" t="s">
        <v>197</v>
      </c>
      <c r="S61" s="546"/>
      <c r="T61" s="546"/>
      <c r="U61" s="545"/>
      <c r="V61" s="517" t="s">
        <v>198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/>
      <c r="B62" s="533"/>
      <c r="C62" s="136"/>
      <c r="D62" s="136"/>
      <c r="E62" s="136"/>
      <c r="F62" s="530"/>
      <c r="G62" s="531"/>
      <c r="H62" s="531"/>
      <c r="I62" s="531"/>
      <c r="J62" s="531"/>
      <c r="K62" s="531"/>
      <c r="L62" s="531"/>
      <c r="M62" s="532"/>
      <c r="N62" s="123" t="s">
        <v>199</v>
      </c>
      <c r="O62" s="130" t="s">
        <v>201</v>
      </c>
      <c r="P62" s="544" t="s">
        <v>196</v>
      </c>
      <c r="Q62" s="545"/>
      <c r="R62" s="544" t="s">
        <v>202</v>
      </c>
      <c r="S62" s="546"/>
      <c r="T62" s="546"/>
      <c r="U62" s="545"/>
      <c r="V62" s="517" t="s">
        <v>198</v>
      </c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/>
      <c r="B63" s="533"/>
      <c r="C63" s="124"/>
      <c r="D63" s="124"/>
      <c r="E63" s="124"/>
      <c r="F63" s="530"/>
      <c r="G63" s="531"/>
      <c r="H63" s="531"/>
      <c r="I63" s="531"/>
      <c r="J63" s="531"/>
      <c r="K63" s="531"/>
      <c r="L63" s="531"/>
      <c r="M63" s="532"/>
      <c r="N63" s="123"/>
      <c r="O63" s="130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124"/>
      <c r="D64" s="124"/>
      <c r="E64" s="124"/>
      <c r="F64" s="530"/>
      <c r="G64" s="531"/>
      <c r="H64" s="531"/>
      <c r="I64" s="531"/>
      <c r="J64" s="531"/>
      <c r="K64" s="531"/>
      <c r="L64" s="531"/>
      <c r="M64" s="532"/>
      <c r="N64" s="123"/>
      <c r="O64" s="130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125"/>
      <c r="D65" s="125"/>
      <c r="E65" s="124"/>
      <c r="F65" s="530"/>
      <c r="G65" s="531"/>
      <c r="H65" s="531"/>
      <c r="I65" s="531"/>
      <c r="J65" s="531"/>
      <c r="K65" s="531"/>
      <c r="L65" s="531"/>
      <c r="M65" s="532"/>
      <c r="N65" s="123"/>
      <c r="O65" s="130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125"/>
      <c r="D66" s="125"/>
      <c r="E66" s="124"/>
      <c r="F66" s="530"/>
      <c r="G66" s="531"/>
      <c r="H66" s="531"/>
      <c r="I66" s="531"/>
      <c r="J66" s="531"/>
      <c r="K66" s="531"/>
      <c r="L66" s="531"/>
      <c r="M66" s="532"/>
      <c r="N66" s="123"/>
      <c r="O66" s="130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126"/>
      <c r="D67" s="127"/>
      <c r="E67" s="126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157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128" t="s">
        <v>2</v>
      </c>
      <c r="D69" s="128" t="s">
        <v>37</v>
      </c>
      <c r="E69" s="128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128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/>
      <c r="D70" s="132"/>
      <c r="E70" s="129"/>
      <c r="F70" s="518"/>
      <c r="G70" s="519"/>
      <c r="H70" s="519"/>
      <c r="I70" s="519"/>
      <c r="J70" s="520"/>
      <c r="K70" s="504"/>
      <c r="L70" s="504"/>
      <c r="M70" s="51"/>
      <c r="N70" s="515"/>
      <c r="O70" s="515"/>
      <c r="P70" s="516"/>
      <c r="Q70" s="516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/>
      <c r="D71" s="132"/>
      <c r="E71" s="129"/>
      <c r="F71" s="518"/>
      <c r="G71" s="519"/>
      <c r="H71" s="519"/>
      <c r="I71" s="519"/>
      <c r="J71" s="520"/>
      <c r="K71" s="504"/>
      <c r="L71" s="504"/>
      <c r="M71" s="51"/>
      <c r="N71" s="515"/>
      <c r="O71" s="515"/>
      <c r="P71" s="516"/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/>
      <c r="D72" s="132"/>
      <c r="E72" s="129"/>
      <c r="F72" s="518"/>
      <c r="G72" s="519"/>
      <c r="H72" s="519"/>
      <c r="I72" s="519"/>
      <c r="J72" s="520"/>
      <c r="K72" s="504"/>
      <c r="L72" s="504"/>
      <c r="M72" s="51"/>
      <c r="N72" s="515"/>
      <c r="O72" s="515"/>
      <c r="P72" s="516"/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/>
      <c r="D73" s="132"/>
      <c r="E73" s="129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/>
      <c r="D74" s="132"/>
      <c r="E74" s="129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/>
      <c r="D75" s="132"/>
      <c r="E75" s="129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/>
      <c r="D76" s="132"/>
      <c r="E76" s="129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132"/>
      <c r="E77" s="129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132"/>
      <c r="E78" s="129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132"/>
      <c r="E79" s="129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159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131" t="s">
        <v>2</v>
      </c>
      <c r="D81" s="131" t="s">
        <v>37</v>
      </c>
      <c r="E81" s="131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133"/>
      <c r="D82" s="133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132"/>
      <c r="D83" s="132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1">A83+1</f>
        <v>3</v>
      </c>
      <c r="B84" s="472"/>
      <c r="C84" s="132"/>
      <c r="D84" s="132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1"/>
        <v>4</v>
      </c>
      <c r="B85" s="472"/>
      <c r="C85" s="132"/>
      <c r="D85" s="132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1"/>
        <v>5</v>
      </c>
      <c r="B86" s="472"/>
      <c r="C86" s="132"/>
      <c r="D86" s="132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1"/>
        <v>6</v>
      </c>
      <c r="B87" s="472"/>
      <c r="C87" s="132"/>
      <c r="D87" s="132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1"/>
        <v>7</v>
      </c>
      <c r="B88" s="472"/>
      <c r="C88" s="132"/>
      <c r="D88" s="132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160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 t="s">
        <v>129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6" fitToHeight="2" orientation="landscape" r:id="rId1"/>
  <rowBreaks count="1" manualBreakCount="1">
    <brk id="53" max="29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A4D93-C4AA-4446-8D53-3418962BD135}">
  <sheetPr>
    <pageSetUpPr fitToPage="1"/>
  </sheetPr>
  <dimension ref="A1:AF95"/>
  <sheetViews>
    <sheetView view="pageBreakPreview" zoomScale="70" zoomScaleNormal="72" zoomScaleSheetLayoutView="70" workbookViewId="0">
      <selection activeCell="F88" sqref="F88:J8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338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232" t="s">
        <v>17</v>
      </c>
      <c r="L5" s="232" t="s">
        <v>18</v>
      </c>
      <c r="M5" s="232" t="s">
        <v>19</v>
      </c>
      <c r="N5" s="232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112</v>
      </c>
      <c r="D6" s="52" t="s">
        <v>127</v>
      </c>
      <c r="E6" s="53" t="s">
        <v>180</v>
      </c>
      <c r="F6" s="30" t="s">
        <v>141</v>
      </c>
      <c r="G6" s="12">
        <v>2</v>
      </c>
      <c r="H6" s="13">
        <v>24</v>
      </c>
      <c r="I6" s="31">
        <v>185000</v>
      </c>
      <c r="J6" s="14">
        <v>11012</v>
      </c>
      <c r="K6" s="15">
        <f>L6+5840+11504+11434+11462+11458+11584+10978+11678+11622+11070+11640+11234+5200</f>
        <v>147716</v>
      </c>
      <c r="L6" s="15">
        <f>2784*2+2722*2</f>
        <v>11012</v>
      </c>
      <c r="M6" s="15">
        <f t="shared" ref="M6:M29" si="0">L6-N6</f>
        <v>11012</v>
      </c>
      <c r="N6" s="15">
        <v>0</v>
      </c>
      <c r="O6" s="58">
        <f t="shared" ref="O6:O30" si="1">IF(L6=0,"0",N6/L6)</f>
        <v>0</v>
      </c>
      <c r="P6" s="39">
        <f t="shared" ref="P6:P29" si="2">IF(L6=0,"0",(24-Q6))</f>
        <v>24</v>
      </c>
      <c r="Q6" s="40">
        <f t="shared" ref="Q6:Q29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29" si="4">IF(J6=0,"0",(L6/J6))</f>
        <v>1</v>
      </c>
      <c r="AC6" s="9">
        <f t="shared" ref="AC6:AC29" si="5">IF(P6=0,"0",(P6/24))</f>
        <v>1</v>
      </c>
      <c r="AD6" s="10">
        <f t="shared" ref="AD6:AD29" si="6">AC6*AB6*(1-O6)</f>
        <v>1</v>
      </c>
      <c r="AE6" s="36">
        <f t="shared" ref="AE6:AE29" si="7">$AD$30</f>
        <v>0.50173611111111105</v>
      </c>
      <c r="AF6" s="84">
        <f t="shared" ref="AF6:AF29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339</v>
      </c>
      <c r="F7" s="30" t="s">
        <v>252</v>
      </c>
      <c r="G7" s="12">
        <v>2</v>
      </c>
      <c r="H7" s="13">
        <v>24</v>
      </c>
      <c r="I7" s="31">
        <v>20000</v>
      </c>
      <c r="J7" s="14">
        <v>5400</v>
      </c>
      <c r="K7" s="15">
        <f>L7</f>
        <v>5400</v>
      </c>
      <c r="L7" s="15">
        <f>2700*2</f>
        <v>5400</v>
      </c>
      <c r="M7" s="15">
        <f t="shared" si="0"/>
        <v>5400</v>
      </c>
      <c r="N7" s="15">
        <v>0</v>
      </c>
      <c r="O7" s="58">
        <f t="shared" si="1"/>
        <v>0</v>
      </c>
      <c r="P7" s="39">
        <f t="shared" si="2"/>
        <v>12</v>
      </c>
      <c r="Q7" s="40">
        <f t="shared" si="3"/>
        <v>12</v>
      </c>
      <c r="R7" s="7"/>
      <c r="S7" s="6"/>
      <c r="T7" s="16">
        <v>12</v>
      </c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0.5</v>
      </c>
      <c r="AD7" s="10">
        <f t="shared" si="6"/>
        <v>0.5</v>
      </c>
      <c r="AE7" s="36">
        <f t="shared" si="7"/>
        <v>0.50173611111111105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160000</v>
      </c>
      <c r="J8" s="14">
        <v>11762</v>
      </c>
      <c r="K8" s="15">
        <f>L8+8132+2262+5886+10522+11854</f>
        <v>50418</v>
      </c>
      <c r="L8" s="15">
        <f>2954*2+2927*2</f>
        <v>11762</v>
      </c>
      <c r="M8" s="15">
        <f t="shared" si="0"/>
        <v>11762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0.50173611111111105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160000</v>
      </c>
      <c r="J9" s="14">
        <v>10788</v>
      </c>
      <c r="K9" s="15">
        <f>L9+10280</f>
        <v>21068</v>
      </c>
      <c r="L9" s="15">
        <f>2705*2+2689*2</f>
        <v>10788</v>
      </c>
      <c r="M9" s="15">
        <f t="shared" si="0"/>
        <v>10788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0.50173611111111105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163</v>
      </c>
      <c r="D10" s="52"/>
      <c r="E10" s="53" t="s">
        <v>204</v>
      </c>
      <c r="F10" s="30" t="s">
        <v>205</v>
      </c>
      <c r="G10" s="33">
        <v>2</v>
      </c>
      <c r="H10" s="35">
        <v>24</v>
      </c>
      <c r="I10" s="7">
        <v>100000</v>
      </c>
      <c r="J10" s="14">
        <v>10206</v>
      </c>
      <c r="K10" s="15">
        <f>L10</f>
        <v>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/>
      <c r="W10" s="5"/>
      <c r="X10" s="16"/>
      <c r="Y10" s="16"/>
      <c r="Z10" s="16"/>
      <c r="AA10" s="18">
        <v>24</v>
      </c>
      <c r="AB10" s="8">
        <f t="shared" si="4"/>
        <v>0</v>
      </c>
      <c r="AC10" s="9">
        <f t="shared" si="5"/>
        <v>0</v>
      </c>
      <c r="AD10" s="10">
        <f t="shared" si="6"/>
        <v>0</v>
      </c>
      <c r="AE10" s="36">
        <f t="shared" si="7"/>
        <v>0.50173611111111105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112</v>
      </c>
      <c r="D11" s="52" t="s">
        <v>322</v>
      </c>
      <c r="E11" s="53" t="s">
        <v>323</v>
      </c>
      <c r="F11" s="30" t="s">
        <v>324</v>
      </c>
      <c r="G11" s="33">
        <v>1</v>
      </c>
      <c r="H11" s="35">
        <v>24</v>
      </c>
      <c r="I11" s="7">
        <v>6000</v>
      </c>
      <c r="J11" s="14">
        <v>5184</v>
      </c>
      <c r="K11" s="15">
        <f>L11+1189</f>
        <v>6373</v>
      </c>
      <c r="L11" s="15">
        <f>2752+2432</f>
        <v>5184</v>
      </c>
      <c r="M11" s="15">
        <f t="shared" si="0"/>
        <v>5184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si="6"/>
        <v>1</v>
      </c>
      <c r="AE11" s="36">
        <f t="shared" si="7"/>
        <v>0.50173611111111105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116</v>
      </c>
      <c r="D12" s="52" t="s">
        <v>115</v>
      </c>
      <c r="E12" s="53" t="s">
        <v>286</v>
      </c>
      <c r="F12" s="30" t="s">
        <v>206</v>
      </c>
      <c r="G12" s="12">
        <v>1</v>
      </c>
      <c r="H12" s="13">
        <v>22</v>
      </c>
      <c r="I12" s="31">
        <v>7600</v>
      </c>
      <c r="J12" s="5">
        <v>5065</v>
      </c>
      <c r="K12" s="15">
        <f>L12+4872+5172</f>
        <v>15109</v>
      </c>
      <c r="L12" s="15">
        <f>2508+2557</f>
        <v>5065</v>
      </c>
      <c r="M12" s="15">
        <f t="shared" si="0"/>
        <v>5065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6"/>
        <v>1</v>
      </c>
      <c r="AE12" s="36">
        <f t="shared" si="7"/>
        <v>0.50173611111111105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123</v>
      </c>
      <c r="E13" s="53" t="s">
        <v>179</v>
      </c>
      <c r="F13" s="30" t="s">
        <v>128</v>
      </c>
      <c r="G13" s="33">
        <v>2</v>
      </c>
      <c r="H13" s="35">
        <v>35</v>
      </c>
      <c r="I13" s="7">
        <v>190000</v>
      </c>
      <c r="J13" s="14">
        <v>12576</v>
      </c>
      <c r="K13" s="15">
        <f>L13+6644+12322+12086+12660</f>
        <v>56288</v>
      </c>
      <c r="L13" s="15">
        <f>3158*2+3130*2</f>
        <v>12576</v>
      </c>
      <c r="M13" s="15">
        <f t="shared" si="0"/>
        <v>12576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6"/>
        <v>1</v>
      </c>
      <c r="AE13" s="36">
        <f t="shared" si="7"/>
        <v>0.50173611111111105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112</v>
      </c>
      <c r="D14" s="52" t="s">
        <v>115</v>
      </c>
      <c r="E14" s="53" t="s">
        <v>181</v>
      </c>
      <c r="F14" s="30" t="s">
        <v>171</v>
      </c>
      <c r="G14" s="33">
        <v>1</v>
      </c>
      <c r="H14" s="35">
        <v>50</v>
      </c>
      <c r="I14" s="7">
        <v>500</v>
      </c>
      <c r="J14" s="5">
        <v>608</v>
      </c>
      <c r="K14" s="15">
        <f>L14+290+608</f>
        <v>898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0.50173611111111105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12000</v>
      </c>
      <c r="J15" s="14">
        <v>12356</v>
      </c>
      <c r="K15" s="15">
        <f>L15+12356</f>
        <v>12356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0.50173611111111105</v>
      </c>
      <c r="AF15" s="84">
        <f t="shared" si="8"/>
        <v>10</v>
      </c>
    </row>
    <row r="16" spans="1:32" ht="27" customHeight="1">
      <c r="A16" s="112">
        <v>11</v>
      </c>
      <c r="B16" s="11" t="s">
        <v>57</v>
      </c>
      <c r="C16" s="34" t="s">
        <v>116</v>
      </c>
      <c r="D16" s="52" t="s">
        <v>127</v>
      </c>
      <c r="E16" s="53" t="s">
        <v>291</v>
      </c>
      <c r="F16" s="30" t="s">
        <v>228</v>
      </c>
      <c r="G16" s="12">
        <v>1</v>
      </c>
      <c r="H16" s="13">
        <v>24</v>
      </c>
      <c r="I16" s="7">
        <v>870</v>
      </c>
      <c r="J16" s="14">
        <v>950</v>
      </c>
      <c r="K16" s="15">
        <f>L16</f>
        <v>950</v>
      </c>
      <c r="L16" s="15">
        <v>950</v>
      </c>
      <c r="M16" s="15">
        <f t="shared" ref="M16" si="9">L16-N16</f>
        <v>950</v>
      </c>
      <c r="N16" s="15">
        <v>0</v>
      </c>
      <c r="O16" s="58">
        <f t="shared" ref="O16" si="10">IF(L16=0,"0",N16/L16)</f>
        <v>0</v>
      </c>
      <c r="P16" s="39">
        <f t="shared" ref="P16" si="11">IF(L16=0,"0",(24-Q16))</f>
        <v>5</v>
      </c>
      <c r="Q16" s="40">
        <f t="shared" ref="Q16" si="12">SUM(R16:AA16)</f>
        <v>19</v>
      </c>
      <c r="R16" s="7"/>
      <c r="S16" s="6"/>
      <c r="T16" s="16"/>
      <c r="U16" s="16"/>
      <c r="V16" s="17"/>
      <c r="W16" s="5">
        <v>19</v>
      </c>
      <c r="X16" s="16"/>
      <c r="Y16" s="16"/>
      <c r="Z16" s="16"/>
      <c r="AA16" s="18"/>
      <c r="AB16" s="8">
        <f t="shared" ref="AB16" si="13">IF(J16=0,"0",(L16/J16))</f>
        <v>1</v>
      </c>
      <c r="AC16" s="9">
        <f t="shared" ref="AC16" si="14">IF(P16=0,"0",(P16/24))</f>
        <v>0.20833333333333334</v>
      </c>
      <c r="AD16" s="10">
        <f t="shared" ref="AD16" si="15">AC16*AB16*(1-O16)</f>
        <v>0.20833333333333334</v>
      </c>
      <c r="AE16" s="36">
        <f t="shared" si="7"/>
        <v>0.50173611111111105</v>
      </c>
      <c r="AF16" s="84">
        <f t="shared" ref="AF16" si="16">A16</f>
        <v>11</v>
      </c>
    </row>
    <row r="17" spans="1:32" ht="27" customHeight="1">
      <c r="A17" s="112">
        <v>11</v>
      </c>
      <c r="B17" s="11" t="s">
        <v>57</v>
      </c>
      <c r="C17" s="34" t="s">
        <v>138</v>
      </c>
      <c r="D17" s="52" t="s">
        <v>265</v>
      </c>
      <c r="E17" s="53" t="s">
        <v>331</v>
      </c>
      <c r="F17" s="30" t="s">
        <v>139</v>
      </c>
      <c r="G17" s="12">
        <v>1</v>
      </c>
      <c r="H17" s="13">
        <v>24</v>
      </c>
      <c r="I17" s="7">
        <v>1000</v>
      </c>
      <c r="J17" s="14">
        <v>1531</v>
      </c>
      <c r="K17" s="15">
        <f>L17</f>
        <v>1531</v>
      </c>
      <c r="L17" s="15">
        <v>1531</v>
      </c>
      <c r="M17" s="15">
        <f t="shared" si="0"/>
        <v>1531</v>
      </c>
      <c r="N17" s="15">
        <v>0</v>
      </c>
      <c r="O17" s="58">
        <f t="shared" si="1"/>
        <v>0</v>
      </c>
      <c r="P17" s="39">
        <f t="shared" si="2"/>
        <v>10</v>
      </c>
      <c r="Q17" s="40">
        <f t="shared" si="3"/>
        <v>14</v>
      </c>
      <c r="R17" s="7"/>
      <c r="S17" s="6">
        <v>8</v>
      </c>
      <c r="T17" s="16"/>
      <c r="U17" s="16"/>
      <c r="V17" s="17"/>
      <c r="W17" s="5">
        <v>6</v>
      </c>
      <c r="X17" s="16"/>
      <c r="Y17" s="16"/>
      <c r="Z17" s="16"/>
      <c r="AA17" s="18"/>
      <c r="AB17" s="8">
        <f t="shared" si="4"/>
        <v>1</v>
      </c>
      <c r="AC17" s="9">
        <f t="shared" si="5"/>
        <v>0.41666666666666669</v>
      </c>
      <c r="AD17" s="10">
        <f t="shared" si="6"/>
        <v>0.41666666666666669</v>
      </c>
      <c r="AE17" s="36">
        <f t="shared" si="7"/>
        <v>0.50173611111111105</v>
      </c>
      <c r="AF17" s="84">
        <f t="shared" si="8"/>
        <v>11</v>
      </c>
    </row>
    <row r="18" spans="1:32" ht="27" customHeight="1">
      <c r="A18" s="95">
        <v>12</v>
      </c>
      <c r="B18" s="11" t="s">
        <v>57</v>
      </c>
      <c r="C18" s="34" t="s">
        <v>296</v>
      </c>
      <c r="D18" s="52"/>
      <c r="E18" s="53" t="s">
        <v>297</v>
      </c>
      <c r="F18" s="30" t="s">
        <v>298</v>
      </c>
      <c r="G18" s="12">
        <v>4</v>
      </c>
      <c r="H18" s="13">
        <v>24</v>
      </c>
      <c r="I18" s="7">
        <v>40000</v>
      </c>
      <c r="J18" s="14">
        <v>23120</v>
      </c>
      <c r="K18" s="15">
        <f>L18+16652+24516</f>
        <v>64288</v>
      </c>
      <c r="L18" s="15">
        <f>2731*4+3049*4</f>
        <v>23120</v>
      </c>
      <c r="M18" s="15">
        <f t="shared" si="0"/>
        <v>23120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6"/>
        <v>1</v>
      </c>
      <c r="AE18" s="36">
        <f t="shared" si="7"/>
        <v>0.50173611111111105</v>
      </c>
      <c r="AF18" s="84">
        <f t="shared" si="8"/>
        <v>12</v>
      </c>
    </row>
    <row r="19" spans="1:32" ht="27" customHeight="1">
      <c r="A19" s="96">
        <v>13</v>
      </c>
      <c r="B19" s="11" t="s">
        <v>57</v>
      </c>
      <c r="C19" s="11" t="s">
        <v>112</v>
      </c>
      <c r="D19" s="52" t="s">
        <v>137</v>
      </c>
      <c r="E19" s="53" t="s">
        <v>191</v>
      </c>
      <c r="F19" s="30" t="s">
        <v>130</v>
      </c>
      <c r="G19" s="33">
        <v>1</v>
      </c>
      <c r="H19" s="35">
        <v>24</v>
      </c>
      <c r="I19" s="7">
        <v>180000</v>
      </c>
      <c r="J19" s="14">
        <v>11484</v>
      </c>
      <c r="K19" s="15">
        <f>L19+9952+11100+11616+11336+11468+11654+10384+11002+11590</f>
        <v>111586</v>
      </c>
      <c r="L19" s="15">
        <f>2889*2+2853*2</f>
        <v>11484</v>
      </c>
      <c r="M19" s="15">
        <f t="shared" si="0"/>
        <v>11484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6"/>
        <v>1</v>
      </c>
      <c r="AE19" s="36">
        <f t="shared" si="7"/>
        <v>0.50173611111111105</v>
      </c>
      <c r="AF19" s="84">
        <f t="shared" si="8"/>
        <v>13</v>
      </c>
    </row>
    <row r="20" spans="1:32" ht="27" customHeight="1">
      <c r="A20" s="96">
        <v>14</v>
      </c>
      <c r="B20" s="11" t="s">
        <v>57</v>
      </c>
      <c r="C20" s="11" t="s">
        <v>112</v>
      </c>
      <c r="D20" s="52" t="s">
        <v>122</v>
      </c>
      <c r="E20" s="53" t="s">
        <v>332</v>
      </c>
      <c r="F20" s="30" t="s">
        <v>140</v>
      </c>
      <c r="G20" s="33">
        <v>1</v>
      </c>
      <c r="H20" s="35">
        <v>24</v>
      </c>
      <c r="I20" s="7">
        <v>500</v>
      </c>
      <c r="J20" s="14">
        <v>668</v>
      </c>
      <c r="K20" s="15">
        <f>L20</f>
        <v>668</v>
      </c>
      <c r="L20" s="15">
        <v>668</v>
      </c>
      <c r="M20" s="15">
        <f t="shared" si="0"/>
        <v>668</v>
      </c>
      <c r="N20" s="15">
        <v>0</v>
      </c>
      <c r="O20" s="58">
        <f t="shared" si="1"/>
        <v>0</v>
      </c>
      <c r="P20" s="39">
        <f t="shared" si="2"/>
        <v>4</v>
      </c>
      <c r="Q20" s="40">
        <f t="shared" si="3"/>
        <v>20</v>
      </c>
      <c r="R20" s="7"/>
      <c r="S20" s="6"/>
      <c r="T20" s="16"/>
      <c r="U20" s="16"/>
      <c r="V20" s="17"/>
      <c r="W20" s="5">
        <v>20</v>
      </c>
      <c r="X20" s="16"/>
      <c r="Y20" s="16"/>
      <c r="Z20" s="16"/>
      <c r="AA20" s="18"/>
      <c r="AB20" s="8">
        <f t="shared" si="4"/>
        <v>1</v>
      </c>
      <c r="AC20" s="9">
        <f t="shared" si="5"/>
        <v>0.16666666666666666</v>
      </c>
      <c r="AD20" s="10">
        <f t="shared" si="6"/>
        <v>0.16666666666666666</v>
      </c>
      <c r="AE20" s="36">
        <f t="shared" si="7"/>
        <v>0.50173611111111105</v>
      </c>
      <c r="AF20" s="84">
        <f t="shared" si="8"/>
        <v>14</v>
      </c>
    </row>
    <row r="21" spans="1:32" ht="27" customHeight="1">
      <c r="A21" s="96">
        <v>14</v>
      </c>
      <c r="B21" s="11" t="s">
        <v>57</v>
      </c>
      <c r="C21" s="11" t="s">
        <v>138</v>
      </c>
      <c r="D21" s="52" t="s">
        <v>340</v>
      </c>
      <c r="E21" s="53" t="s">
        <v>341</v>
      </c>
      <c r="F21" s="30" t="s">
        <v>139</v>
      </c>
      <c r="G21" s="33">
        <v>2</v>
      </c>
      <c r="H21" s="35">
        <v>24</v>
      </c>
      <c r="I21" s="7">
        <v>20000</v>
      </c>
      <c r="J21" s="14">
        <v>7978</v>
      </c>
      <c r="K21" s="15">
        <f>L21</f>
        <v>7978</v>
      </c>
      <c r="L21" s="15">
        <f>2818*2+1171*2</f>
        <v>7978</v>
      </c>
      <c r="M21" s="15">
        <f t="shared" ref="M21" si="17">L21-N21</f>
        <v>7978</v>
      </c>
      <c r="N21" s="15">
        <v>0</v>
      </c>
      <c r="O21" s="58">
        <f t="shared" ref="O21" si="18">IF(L21=0,"0",N21/L21)</f>
        <v>0</v>
      </c>
      <c r="P21" s="39">
        <f t="shared" ref="P21" si="19">IF(L21=0,"0",(24-Q21))</f>
        <v>18</v>
      </c>
      <c r="Q21" s="40">
        <f t="shared" ref="Q21" si="20">SUM(R21:AA21)</f>
        <v>6</v>
      </c>
      <c r="R21" s="7"/>
      <c r="S21" s="6"/>
      <c r="T21" s="16">
        <v>6</v>
      </c>
      <c r="U21" s="16"/>
      <c r="V21" s="17"/>
      <c r="W21" s="5"/>
      <c r="X21" s="16"/>
      <c r="Y21" s="16"/>
      <c r="Z21" s="16"/>
      <c r="AA21" s="18"/>
      <c r="AB21" s="8">
        <f t="shared" ref="AB21" si="21">IF(J21=0,"0",(L21/J21))</f>
        <v>1</v>
      </c>
      <c r="AC21" s="9">
        <f t="shared" ref="AC21" si="22">IF(P21=0,"0",(P21/24))</f>
        <v>0.75</v>
      </c>
      <c r="AD21" s="10">
        <f t="shared" ref="AD21" si="23">AC21*AB21*(1-O21)</f>
        <v>0.75</v>
      </c>
      <c r="AE21" s="36">
        <f t="shared" si="7"/>
        <v>0.50173611111111105</v>
      </c>
      <c r="AF21" s="84">
        <f t="shared" ref="AF21" si="24">A21</f>
        <v>14</v>
      </c>
    </row>
    <row r="22" spans="1:32" ht="27" customHeight="1">
      <c r="A22" s="112">
        <v>15</v>
      </c>
      <c r="B22" s="11" t="s">
        <v>57</v>
      </c>
      <c r="C22" s="34" t="s">
        <v>112</v>
      </c>
      <c r="D22" s="52" t="s">
        <v>115</v>
      </c>
      <c r="E22" s="53" t="s">
        <v>178</v>
      </c>
      <c r="F22" s="30" t="s">
        <v>206</v>
      </c>
      <c r="G22" s="12">
        <v>2</v>
      </c>
      <c r="H22" s="13">
        <v>24</v>
      </c>
      <c r="I22" s="7">
        <v>230000</v>
      </c>
      <c r="J22" s="14">
        <v>10892</v>
      </c>
      <c r="K22" s="15">
        <f>L22+7008+11154+9077+8768+10676+10588+2521+7242+10236+10216+10614+10620+10632+10760+10206+10136+10692</f>
        <v>172038</v>
      </c>
      <c r="L22" s="15">
        <f>2738*2+2708*2</f>
        <v>10892</v>
      </c>
      <c r="M22" s="15">
        <f t="shared" si="0"/>
        <v>10892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6"/>
        <v>1</v>
      </c>
      <c r="AE22" s="36">
        <f t="shared" si="7"/>
        <v>0.50173611111111105</v>
      </c>
      <c r="AF22" s="84">
        <f t="shared" si="8"/>
        <v>15</v>
      </c>
    </row>
    <row r="23" spans="1:32" ht="26.25" customHeight="1">
      <c r="A23" s="96">
        <v>16</v>
      </c>
      <c r="B23" s="11" t="s">
        <v>57</v>
      </c>
      <c r="C23" s="11" t="s">
        <v>113</v>
      </c>
      <c r="D23" s="52"/>
      <c r="E23" s="53" t="s">
        <v>325</v>
      </c>
      <c r="F23" s="12" t="s">
        <v>114</v>
      </c>
      <c r="G23" s="12">
        <v>3</v>
      </c>
      <c r="H23" s="35">
        <v>20</v>
      </c>
      <c r="I23" s="7">
        <v>200000</v>
      </c>
      <c r="J23" s="14">
        <v>46530</v>
      </c>
      <c r="K23" s="15">
        <f>L23+25797</f>
        <v>72327</v>
      </c>
      <c r="L23" s="15">
        <f>7793*3+7717*3</f>
        <v>46530</v>
      </c>
      <c r="M23" s="15">
        <f t="shared" si="0"/>
        <v>46530</v>
      </c>
      <c r="N23" s="15">
        <v>0</v>
      </c>
      <c r="O23" s="58">
        <f t="shared" si="1"/>
        <v>0</v>
      </c>
      <c r="P23" s="39">
        <f t="shared" si="2"/>
        <v>24</v>
      </c>
      <c r="Q23" s="40">
        <f t="shared" si="3"/>
        <v>0</v>
      </c>
      <c r="R23" s="7"/>
      <c r="S23" s="6"/>
      <c r="T23" s="16"/>
      <c r="U23" s="16"/>
      <c r="V23" s="17"/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1</v>
      </c>
      <c r="AD23" s="10">
        <f t="shared" si="6"/>
        <v>1</v>
      </c>
      <c r="AE23" s="36">
        <f t="shared" si="7"/>
        <v>0.50173611111111105</v>
      </c>
      <c r="AF23" s="84">
        <f t="shared" si="8"/>
        <v>16</v>
      </c>
    </row>
    <row r="24" spans="1:32" ht="18.75">
      <c r="A24" s="96">
        <v>31</v>
      </c>
      <c r="B24" s="11" t="s">
        <v>57</v>
      </c>
      <c r="C24" s="11"/>
      <c r="D24" s="52"/>
      <c r="E24" s="53"/>
      <c r="F24" s="12"/>
      <c r="G24" s="12"/>
      <c r="H24" s="35">
        <v>20</v>
      </c>
      <c r="I24" s="7"/>
      <c r="J24" s="14">
        <v>0</v>
      </c>
      <c r="K24" s="15">
        <f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>
        <v>24</v>
      </c>
      <c r="W24" s="5"/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0.50173611111111105</v>
      </c>
      <c r="AF24" s="84">
        <f t="shared" si="8"/>
        <v>31</v>
      </c>
    </row>
    <row r="25" spans="1:32" ht="18.75">
      <c r="A25" s="96">
        <v>32</v>
      </c>
      <c r="B25" s="11" t="s">
        <v>57</v>
      </c>
      <c r="C25" s="11"/>
      <c r="D25" s="52"/>
      <c r="E25" s="53"/>
      <c r="F25" s="12"/>
      <c r="G25" s="12"/>
      <c r="H25" s="35">
        <v>20</v>
      </c>
      <c r="I25" s="7"/>
      <c r="J25" s="14">
        <v>0</v>
      </c>
      <c r="K25" s="15">
        <f>L25</f>
        <v>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>
        <v>24</v>
      </c>
      <c r="W25" s="5"/>
      <c r="X25" s="16"/>
      <c r="Y25" s="16"/>
      <c r="Z25" s="16"/>
      <c r="AA25" s="18"/>
      <c r="AB25" s="8" t="str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0.50173611111111105</v>
      </c>
      <c r="AF25" s="84">
        <f t="shared" si="8"/>
        <v>32</v>
      </c>
    </row>
    <row r="26" spans="1:32" ht="18.75">
      <c r="A26" s="96">
        <v>33</v>
      </c>
      <c r="B26" s="11" t="s">
        <v>57</v>
      </c>
      <c r="C26" s="11" t="s">
        <v>116</v>
      </c>
      <c r="D26" s="52" t="s">
        <v>142</v>
      </c>
      <c r="E26" s="53" t="s">
        <v>146</v>
      </c>
      <c r="F26" s="12" t="s">
        <v>140</v>
      </c>
      <c r="G26" s="12">
        <v>1</v>
      </c>
      <c r="H26" s="35">
        <v>20</v>
      </c>
      <c r="I26" s="7">
        <v>140000</v>
      </c>
      <c r="J26" s="14">
        <v>3244</v>
      </c>
      <c r="K26" s="15">
        <f>L26+4387+7770+5806+7905+7479+7369+7360+2397+6904+7208+7013+6976+6992+2652+6495+7026+7051+7084+4297+6519+7042+3244</f>
        <v>136976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0.50173611111111105</v>
      </c>
      <c r="AF26" s="84">
        <f t="shared" si="8"/>
        <v>33</v>
      </c>
    </row>
    <row r="27" spans="1:32" ht="28.5">
      <c r="A27" s="96">
        <v>34</v>
      </c>
      <c r="B27" s="11" t="s">
        <v>57</v>
      </c>
      <c r="C27" s="11" t="s">
        <v>116</v>
      </c>
      <c r="D27" s="52" t="s">
        <v>142</v>
      </c>
      <c r="E27" s="53" t="s">
        <v>147</v>
      </c>
      <c r="F27" s="12" t="s">
        <v>131</v>
      </c>
      <c r="G27" s="12">
        <v>4</v>
      </c>
      <c r="H27" s="35">
        <v>20</v>
      </c>
      <c r="I27" s="7">
        <v>240000</v>
      </c>
      <c r="J27" s="14">
        <v>9988</v>
      </c>
      <c r="K27" s="15">
        <f>L27+24768+29084+29040+29804+27780+4064+26996+28972+25428+29132+9988</f>
        <v>265056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0.50173611111111105</v>
      </c>
      <c r="AF27" s="84">
        <f t="shared" si="8"/>
        <v>34</v>
      </c>
    </row>
    <row r="28" spans="1:32" ht="28.5">
      <c r="A28" s="96">
        <v>35</v>
      </c>
      <c r="B28" s="11" t="s">
        <v>57</v>
      </c>
      <c r="C28" s="11" t="s">
        <v>116</v>
      </c>
      <c r="D28" s="52" t="s">
        <v>122</v>
      </c>
      <c r="E28" s="53" t="s">
        <v>133</v>
      </c>
      <c r="F28" s="12" t="s">
        <v>131</v>
      </c>
      <c r="G28" s="12">
        <v>4</v>
      </c>
      <c r="H28" s="35">
        <v>20</v>
      </c>
      <c r="I28" s="7">
        <v>240000</v>
      </c>
      <c r="J28" s="14">
        <v>11600</v>
      </c>
      <c r="K28" s="15">
        <f>L28+25004+29968+31848+29672+31736+27000+29200+29420+29140+11600</f>
        <v>274588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20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6"/>
        <v>0</v>
      </c>
      <c r="AE28" s="36">
        <f t="shared" si="7"/>
        <v>0.50173611111111105</v>
      </c>
      <c r="AF28" s="84">
        <f t="shared" si="8"/>
        <v>35</v>
      </c>
    </row>
    <row r="29" spans="1:32" ht="19.5" thickBot="1">
      <c r="A29" s="96">
        <v>36</v>
      </c>
      <c r="B29" s="11" t="s">
        <v>57</v>
      </c>
      <c r="C29" s="11" t="s">
        <v>173</v>
      </c>
      <c r="D29" s="52"/>
      <c r="E29" s="53" t="s">
        <v>174</v>
      </c>
      <c r="F29" s="12" t="s">
        <v>175</v>
      </c>
      <c r="G29" s="12">
        <v>32</v>
      </c>
      <c r="H29" s="35">
        <v>20</v>
      </c>
      <c r="I29" s="7">
        <v>700000</v>
      </c>
      <c r="J29" s="14">
        <v>89792</v>
      </c>
      <c r="K29" s="15">
        <f>L29+326528+448864+89792</f>
        <v>865184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20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6"/>
        <v>0</v>
      </c>
      <c r="AE29" s="36">
        <f t="shared" si="7"/>
        <v>0.50173611111111105</v>
      </c>
      <c r="AF29" s="84">
        <f t="shared" si="8"/>
        <v>36</v>
      </c>
    </row>
    <row r="30" spans="1:32" ht="19.5" thickBot="1">
      <c r="A30" s="549" t="s">
        <v>34</v>
      </c>
      <c r="B30" s="550"/>
      <c r="C30" s="550"/>
      <c r="D30" s="550"/>
      <c r="E30" s="550"/>
      <c r="F30" s="550"/>
      <c r="G30" s="550"/>
      <c r="H30" s="551"/>
      <c r="I30" s="22">
        <f t="shared" ref="I30:N30" si="25">SUM(I6:I29)</f>
        <v>2833470</v>
      </c>
      <c r="J30" s="19">
        <f t="shared" si="25"/>
        <v>302734</v>
      </c>
      <c r="K30" s="20">
        <f t="shared" si="25"/>
        <v>2288796</v>
      </c>
      <c r="L30" s="21">
        <f t="shared" si="25"/>
        <v>164940</v>
      </c>
      <c r="M30" s="20">
        <f t="shared" si="25"/>
        <v>164940</v>
      </c>
      <c r="N30" s="21">
        <f t="shared" si="25"/>
        <v>0</v>
      </c>
      <c r="O30" s="41">
        <f t="shared" si="1"/>
        <v>0</v>
      </c>
      <c r="P30" s="42">
        <f t="shared" ref="P30:AA30" si="26">SUM(P6:P29)</f>
        <v>289</v>
      </c>
      <c r="Q30" s="43">
        <f t="shared" si="26"/>
        <v>287</v>
      </c>
      <c r="R30" s="23">
        <f t="shared" si="26"/>
        <v>0</v>
      </c>
      <c r="S30" s="24">
        <f t="shared" si="26"/>
        <v>8</v>
      </c>
      <c r="T30" s="24">
        <f t="shared" si="26"/>
        <v>18</v>
      </c>
      <c r="U30" s="24">
        <f t="shared" si="26"/>
        <v>0</v>
      </c>
      <c r="V30" s="25">
        <f t="shared" si="26"/>
        <v>48</v>
      </c>
      <c r="W30" s="26">
        <f t="shared" si="26"/>
        <v>189</v>
      </c>
      <c r="X30" s="27">
        <f t="shared" si="26"/>
        <v>0</v>
      </c>
      <c r="Y30" s="27">
        <f t="shared" si="26"/>
        <v>0</v>
      </c>
      <c r="Z30" s="27">
        <f t="shared" si="26"/>
        <v>0</v>
      </c>
      <c r="AA30" s="27">
        <f t="shared" si="26"/>
        <v>24</v>
      </c>
      <c r="AB30" s="28">
        <f>AVERAGE(AB6:AB29)</f>
        <v>0.68181818181818177</v>
      </c>
      <c r="AC30" s="4">
        <f>AVERAGE(AC6:AC29)</f>
        <v>0.50173611111111105</v>
      </c>
      <c r="AD30" s="4">
        <f>AVERAGE(AD6:AD29)</f>
        <v>0.50173611111111105</v>
      </c>
      <c r="AE30" s="29"/>
    </row>
    <row r="31" spans="1:32">
      <c r="T31" s="50" t="s">
        <v>143</v>
      </c>
    </row>
    <row r="32" spans="1:32" ht="18.75">
      <c r="A32" s="2"/>
      <c r="B32" s="2" t="s">
        <v>35</v>
      </c>
      <c r="C32" s="2"/>
      <c r="D32" s="2"/>
      <c r="E32" s="2"/>
      <c r="F32" s="2"/>
      <c r="G32" s="2"/>
      <c r="H32" s="3"/>
      <c r="I32" s="3"/>
      <c r="J32" s="2"/>
      <c r="K32" s="2"/>
      <c r="L32" s="2"/>
      <c r="M32" s="2"/>
      <c r="N32" s="2" t="s">
        <v>36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1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 t="s">
        <v>144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85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27">
      <c r="A47" s="59"/>
      <c r="B47" s="59"/>
      <c r="C47" s="59"/>
      <c r="D47" s="59"/>
      <c r="E47" s="59"/>
      <c r="F47" s="37"/>
      <c r="G47" s="37"/>
      <c r="H47" s="38"/>
      <c r="I47" s="38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F47" s="50"/>
    </row>
    <row r="48" spans="1:32" ht="29.25" customHeight="1">
      <c r="A48" s="60"/>
      <c r="B48" s="60"/>
      <c r="C48" s="61"/>
      <c r="D48" s="61"/>
      <c r="E48" s="61"/>
      <c r="F48" s="60"/>
      <c r="G48" s="60"/>
      <c r="H48" s="60"/>
      <c r="I48" s="60"/>
      <c r="J48" s="60"/>
      <c r="K48" s="60"/>
      <c r="L48" s="60"/>
      <c r="M48" s="61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14.2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36" thickBot="1">
      <c r="A57" s="552" t="s">
        <v>45</v>
      </c>
      <c r="B57" s="552"/>
      <c r="C57" s="552"/>
      <c r="D57" s="552"/>
      <c r="E57" s="552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26.25" thickBot="1">
      <c r="A58" s="553" t="s">
        <v>342</v>
      </c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5"/>
      <c r="N58" s="556" t="s">
        <v>347</v>
      </c>
      <c r="O58" s="557"/>
      <c r="P58" s="557"/>
      <c r="Q58" s="557"/>
      <c r="R58" s="557"/>
      <c r="S58" s="557"/>
      <c r="T58" s="557"/>
      <c r="U58" s="557"/>
      <c r="V58" s="557"/>
      <c r="W58" s="557"/>
      <c r="X58" s="557"/>
      <c r="Y58" s="557"/>
      <c r="Z58" s="557"/>
      <c r="AA58" s="557"/>
      <c r="AB58" s="557"/>
      <c r="AC58" s="557"/>
      <c r="AD58" s="558"/>
    </row>
    <row r="59" spans="1:32" ht="27" customHeight="1">
      <c r="A59" s="559" t="s">
        <v>2</v>
      </c>
      <c r="B59" s="560"/>
      <c r="C59" s="233" t="s">
        <v>46</v>
      </c>
      <c r="D59" s="233" t="s">
        <v>47</v>
      </c>
      <c r="E59" s="233" t="s">
        <v>107</v>
      </c>
      <c r="F59" s="561" t="s">
        <v>106</v>
      </c>
      <c r="G59" s="562"/>
      <c r="H59" s="562"/>
      <c r="I59" s="562"/>
      <c r="J59" s="562"/>
      <c r="K59" s="562"/>
      <c r="L59" s="562"/>
      <c r="M59" s="563"/>
      <c r="N59" s="67" t="s">
        <v>110</v>
      </c>
      <c r="O59" s="233" t="s">
        <v>46</v>
      </c>
      <c r="P59" s="561" t="s">
        <v>47</v>
      </c>
      <c r="Q59" s="564"/>
      <c r="R59" s="561" t="s">
        <v>38</v>
      </c>
      <c r="S59" s="562"/>
      <c r="T59" s="562"/>
      <c r="U59" s="564"/>
      <c r="V59" s="561" t="s">
        <v>48</v>
      </c>
      <c r="W59" s="562"/>
      <c r="X59" s="562"/>
      <c r="Y59" s="562"/>
      <c r="Z59" s="562"/>
      <c r="AA59" s="562"/>
      <c r="AB59" s="562"/>
      <c r="AC59" s="562"/>
      <c r="AD59" s="563"/>
    </row>
    <row r="60" spans="1:32" ht="27" customHeight="1">
      <c r="A60" s="543" t="s">
        <v>138</v>
      </c>
      <c r="B60" s="533"/>
      <c r="C60" s="236" t="s">
        <v>217</v>
      </c>
      <c r="D60" s="236" t="s">
        <v>142</v>
      </c>
      <c r="E60" s="236" t="s">
        <v>339</v>
      </c>
      <c r="F60" s="530" t="s">
        <v>343</v>
      </c>
      <c r="G60" s="531"/>
      <c r="H60" s="531"/>
      <c r="I60" s="531"/>
      <c r="J60" s="531"/>
      <c r="K60" s="531"/>
      <c r="L60" s="531"/>
      <c r="M60" s="532"/>
      <c r="N60" s="235" t="s">
        <v>112</v>
      </c>
      <c r="O60" s="241" t="s">
        <v>210</v>
      </c>
      <c r="P60" s="544" t="s">
        <v>115</v>
      </c>
      <c r="Q60" s="545"/>
      <c r="R60" s="544" t="s">
        <v>260</v>
      </c>
      <c r="S60" s="546"/>
      <c r="T60" s="546"/>
      <c r="U60" s="545"/>
      <c r="V60" s="517" t="s">
        <v>124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112</v>
      </c>
      <c r="B61" s="533"/>
      <c r="C61" s="236" t="s">
        <v>201</v>
      </c>
      <c r="D61" s="236" t="s">
        <v>322</v>
      </c>
      <c r="E61" s="236" t="s">
        <v>323</v>
      </c>
      <c r="F61" s="530" t="s">
        <v>120</v>
      </c>
      <c r="G61" s="531"/>
      <c r="H61" s="531"/>
      <c r="I61" s="531"/>
      <c r="J61" s="531"/>
      <c r="K61" s="531"/>
      <c r="L61" s="531"/>
      <c r="M61" s="532"/>
      <c r="N61" s="235" t="s">
        <v>116</v>
      </c>
      <c r="O61" s="241" t="s">
        <v>307</v>
      </c>
      <c r="P61" s="544" t="s">
        <v>127</v>
      </c>
      <c r="Q61" s="545"/>
      <c r="R61" s="544" t="s">
        <v>348</v>
      </c>
      <c r="S61" s="546"/>
      <c r="T61" s="546"/>
      <c r="U61" s="545"/>
      <c r="V61" s="517" t="s">
        <v>344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 t="s">
        <v>116</v>
      </c>
      <c r="B62" s="533"/>
      <c r="C62" s="236" t="s">
        <v>210</v>
      </c>
      <c r="D62" s="236" t="s">
        <v>127</v>
      </c>
      <c r="E62" s="236" t="s">
        <v>291</v>
      </c>
      <c r="F62" s="530" t="s">
        <v>344</v>
      </c>
      <c r="G62" s="531"/>
      <c r="H62" s="531"/>
      <c r="I62" s="531"/>
      <c r="J62" s="531"/>
      <c r="K62" s="531"/>
      <c r="L62" s="531"/>
      <c r="M62" s="532"/>
      <c r="N62" s="235" t="s">
        <v>116</v>
      </c>
      <c r="O62" s="241" t="s">
        <v>287</v>
      </c>
      <c r="P62" s="544" t="s">
        <v>122</v>
      </c>
      <c r="Q62" s="545"/>
      <c r="R62" s="544" t="s">
        <v>349</v>
      </c>
      <c r="S62" s="546"/>
      <c r="T62" s="546"/>
      <c r="U62" s="545"/>
      <c r="V62" s="517" t="s">
        <v>344</v>
      </c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 t="s">
        <v>138</v>
      </c>
      <c r="B63" s="533"/>
      <c r="C63" s="236" t="s">
        <v>210</v>
      </c>
      <c r="D63" s="236" t="s">
        <v>265</v>
      </c>
      <c r="E63" s="236" t="s">
        <v>331</v>
      </c>
      <c r="F63" s="530" t="s">
        <v>345</v>
      </c>
      <c r="G63" s="531"/>
      <c r="H63" s="531"/>
      <c r="I63" s="531"/>
      <c r="J63" s="531"/>
      <c r="K63" s="531"/>
      <c r="L63" s="531"/>
      <c r="M63" s="532"/>
      <c r="N63" s="235"/>
      <c r="O63" s="241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 t="s">
        <v>112</v>
      </c>
      <c r="B64" s="533"/>
      <c r="C64" s="236" t="s">
        <v>161</v>
      </c>
      <c r="D64" s="236" t="s">
        <v>122</v>
      </c>
      <c r="E64" s="236" t="s">
        <v>332</v>
      </c>
      <c r="F64" s="530" t="s">
        <v>124</v>
      </c>
      <c r="G64" s="531"/>
      <c r="H64" s="531"/>
      <c r="I64" s="531"/>
      <c r="J64" s="531"/>
      <c r="K64" s="531"/>
      <c r="L64" s="531"/>
      <c r="M64" s="532"/>
      <c r="N64" s="235"/>
      <c r="O64" s="241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43" t="s">
        <v>138</v>
      </c>
      <c r="B65" s="533"/>
      <c r="C65" s="236" t="s">
        <v>346</v>
      </c>
      <c r="D65" s="236" t="s">
        <v>340</v>
      </c>
      <c r="E65" s="236" t="s">
        <v>341</v>
      </c>
      <c r="F65" s="530" t="s">
        <v>124</v>
      </c>
      <c r="G65" s="531"/>
      <c r="H65" s="531"/>
      <c r="I65" s="531"/>
      <c r="J65" s="531"/>
      <c r="K65" s="531"/>
      <c r="L65" s="531"/>
      <c r="M65" s="532"/>
      <c r="N65" s="235"/>
      <c r="O65" s="241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43"/>
      <c r="B66" s="533"/>
      <c r="C66" s="236"/>
      <c r="D66" s="236"/>
      <c r="E66" s="236"/>
      <c r="F66" s="530"/>
      <c r="G66" s="531"/>
      <c r="H66" s="531"/>
      <c r="I66" s="531"/>
      <c r="J66" s="531"/>
      <c r="K66" s="531"/>
      <c r="L66" s="531"/>
      <c r="M66" s="532"/>
      <c r="N66" s="235"/>
      <c r="O66" s="241"/>
      <c r="P66" s="544"/>
      <c r="Q66" s="545"/>
      <c r="R66" s="544"/>
      <c r="S66" s="546"/>
      <c r="T66" s="546"/>
      <c r="U66" s="545"/>
      <c r="V66" s="517"/>
      <c r="W66" s="517"/>
      <c r="X66" s="517"/>
      <c r="Y66" s="517"/>
      <c r="Z66" s="517"/>
      <c r="AA66" s="517"/>
      <c r="AB66" s="517"/>
      <c r="AC66" s="517"/>
      <c r="AD66" s="534"/>
    </row>
    <row r="67" spans="1:32" ht="27" customHeight="1">
      <c r="A67" s="528"/>
      <c r="B67" s="529"/>
      <c r="C67" s="234"/>
      <c r="D67" s="234"/>
      <c r="E67" s="236"/>
      <c r="F67" s="530"/>
      <c r="G67" s="531"/>
      <c r="H67" s="531"/>
      <c r="I67" s="531"/>
      <c r="J67" s="531"/>
      <c r="K67" s="531"/>
      <c r="L67" s="531"/>
      <c r="M67" s="532"/>
      <c r="N67" s="235"/>
      <c r="O67" s="241"/>
      <c r="P67" s="544"/>
      <c r="Q67" s="545"/>
      <c r="R67" s="544"/>
      <c r="S67" s="546"/>
      <c r="T67" s="546"/>
      <c r="U67" s="545"/>
      <c r="V67" s="517"/>
      <c r="W67" s="517"/>
      <c r="X67" s="517"/>
      <c r="Y67" s="517"/>
      <c r="Z67" s="517"/>
      <c r="AA67" s="517"/>
      <c r="AB67" s="517"/>
      <c r="AC67" s="517"/>
      <c r="AD67" s="534"/>
    </row>
    <row r="68" spans="1:32" ht="27" customHeight="1">
      <c r="A68" s="528"/>
      <c r="B68" s="529"/>
      <c r="C68" s="234"/>
      <c r="D68" s="234"/>
      <c r="E68" s="236"/>
      <c r="F68" s="530"/>
      <c r="G68" s="531"/>
      <c r="H68" s="531"/>
      <c r="I68" s="531"/>
      <c r="J68" s="531"/>
      <c r="K68" s="531"/>
      <c r="L68" s="531"/>
      <c r="M68" s="532"/>
      <c r="N68" s="235"/>
      <c r="O68" s="241"/>
      <c r="P68" s="533"/>
      <c r="Q68" s="533"/>
      <c r="R68" s="533"/>
      <c r="S68" s="533"/>
      <c r="T68" s="533"/>
      <c r="U68" s="533"/>
      <c r="V68" s="517"/>
      <c r="W68" s="517"/>
      <c r="X68" s="517"/>
      <c r="Y68" s="517"/>
      <c r="Z68" s="517"/>
      <c r="AA68" s="517"/>
      <c r="AB68" s="517"/>
      <c r="AC68" s="517"/>
      <c r="AD68" s="534"/>
      <c r="AF68" s="84">
        <f>8*3000</f>
        <v>24000</v>
      </c>
    </row>
    <row r="69" spans="1:32" ht="27" customHeight="1" thickBot="1">
      <c r="A69" s="535"/>
      <c r="B69" s="536"/>
      <c r="C69" s="237"/>
      <c r="D69" s="238"/>
      <c r="E69" s="237"/>
      <c r="F69" s="537"/>
      <c r="G69" s="538"/>
      <c r="H69" s="538"/>
      <c r="I69" s="538"/>
      <c r="J69" s="538"/>
      <c r="K69" s="538"/>
      <c r="L69" s="538"/>
      <c r="M69" s="539"/>
      <c r="N69" s="111"/>
      <c r="O69" s="103"/>
      <c r="P69" s="540"/>
      <c r="Q69" s="540"/>
      <c r="R69" s="540"/>
      <c r="S69" s="540"/>
      <c r="T69" s="540"/>
      <c r="U69" s="540"/>
      <c r="V69" s="541"/>
      <c r="W69" s="541"/>
      <c r="X69" s="541"/>
      <c r="Y69" s="541"/>
      <c r="Z69" s="541"/>
      <c r="AA69" s="541"/>
      <c r="AB69" s="541"/>
      <c r="AC69" s="541"/>
      <c r="AD69" s="542"/>
      <c r="AF69" s="84">
        <f>16*3000</f>
        <v>48000</v>
      </c>
    </row>
    <row r="70" spans="1:32" ht="27.75" thickBot="1">
      <c r="A70" s="526" t="s">
        <v>350</v>
      </c>
      <c r="B70" s="526"/>
      <c r="C70" s="526"/>
      <c r="D70" s="526"/>
      <c r="E70" s="526"/>
      <c r="F70" s="37"/>
      <c r="G70" s="37"/>
      <c r="H70" s="38"/>
      <c r="I70" s="38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F70" s="84">
        <v>24000</v>
      </c>
    </row>
    <row r="71" spans="1:32" ht="29.25" customHeight="1" thickBot="1">
      <c r="A71" s="527" t="s">
        <v>111</v>
      </c>
      <c r="B71" s="524"/>
      <c r="C71" s="239" t="s">
        <v>2</v>
      </c>
      <c r="D71" s="239" t="s">
        <v>37</v>
      </c>
      <c r="E71" s="239" t="s">
        <v>3</v>
      </c>
      <c r="F71" s="524" t="s">
        <v>109</v>
      </c>
      <c r="G71" s="524"/>
      <c r="H71" s="524"/>
      <c r="I71" s="524"/>
      <c r="J71" s="524"/>
      <c r="K71" s="524" t="s">
        <v>39</v>
      </c>
      <c r="L71" s="524"/>
      <c r="M71" s="239" t="s">
        <v>40</v>
      </c>
      <c r="N71" s="524" t="s">
        <v>41</v>
      </c>
      <c r="O71" s="524"/>
      <c r="P71" s="521" t="s">
        <v>42</v>
      </c>
      <c r="Q71" s="523"/>
      <c r="R71" s="521" t="s">
        <v>43</v>
      </c>
      <c r="S71" s="522"/>
      <c r="T71" s="522"/>
      <c r="U71" s="522"/>
      <c r="V71" s="522"/>
      <c r="W71" s="522"/>
      <c r="X71" s="522"/>
      <c r="Y71" s="522"/>
      <c r="Z71" s="522"/>
      <c r="AA71" s="523"/>
      <c r="AB71" s="524" t="s">
        <v>44</v>
      </c>
      <c r="AC71" s="524"/>
      <c r="AD71" s="525"/>
      <c r="AF71" s="84">
        <f>SUM(AF68:AF70)</f>
        <v>96000</v>
      </c>
    </row>
    <row r="72" spans="1:32" ht="25.5" customHeight="1">
      <c r="A72" s="512">
        <v>1</v>
      </c>
      <c r="B72" s="513"/>
      <c r="C72" s="104" t="s">
        <v>116</v>
      </c>
      <c r="D72" s="243"/>
      <c r="E72" s="240" t="s">
        <v>127</v>
      </c>
      <c r="F72" s="518" t="s">
        <v>351</v>
      </c>
      <c r="G72" s="519"/>
      <c r="H72" s="519"/>
      <c r="I72" s="519"/>
      <c r="J72" s="520"/>
      <c r="K72" s="504" t="s">
        <v>169</v>
      </c>
      <c r="L72" s="504"/>
      <c r="M72" s="51" t="s">
        <v>216</v>
      </c>
      <c r="N72" s="515" t="s">
        <v>217</v>
      </c>
      <c r="O72" s="515"/>
      <c r="P72" s="516">
        <v>50</v>
      </c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2</v>
      </c>
      <c r="B73" s="513"/>
      <c r="C73" s="104" t="s">
        <v>163</v>
      </c>
      <c r="D73" s="243"/>
      <c r="E73" s="240"/>
      <c r="F73" s="518" t="s">
        <v>204</v>
      </c>
      <c r="G73" s="519"/>
      <c r="H73" s="519"/>
      <c r="I73" s="519"/>
      <c r="J73" s="520"/>
      <c r="K73" s="504" t="s">
        <v>206</v>
      </c>
      <c r="L73" s="504"/>
      <c r="M73" s="51" t="s">
        <v>334</v>
      </c>
      <c r="N73" s="515" t="s">
        <v>230</v>
      </c>
      <c r="O73" s="515"/>
      <c r="P73" s="516">
        <v>300</v>
      </c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3</v>
      </c>
      <c r="B74" s="513"/>
      <c r="C74" s="104" t="s">
        <v>116</v>
      </c>
      <c r="D74" s="243"/>
      <c r="E74" s="240" t="s">
        <v>127</v>
      </c>
      <c r="F74" s="518" t="s">
        <v>291</v>
      </c>
      <c r="G74" s="519"/>
      <c r="H74" s="519"/>
      <c r="I74" s="519"/>
      <c r="J74" s="520"/>
      <c r="K74" s="504" t="s">
        <v>228</v>
      </c>
      <c r="L74" s="504"/>
      <c r="M74" s="51" t="s">
        <v>216</v>
      </c>
      <c r="N74" s="515" t="s">
        <v>210</v>
      </c>
      <c r="O74" s="515"/>
      <c r="P74" s="516">
        <v>50</v>
      </c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4</v>
      </c>
      <c r="B75" s="513"/>
      <c r="C75" s="104" t="s">
        <v>116</v>
      </c>
      <c r="D75" s="243"/>
      <c r="E75" s="240" t="s">
        <v>122</v>
      </c>
      <c r="F75" s="518" t="s">
        <v>352</v>
      </c>
      <c r="G75" s="519"/>
      <c r="H75" s="519"/>
      <c r="I75" s="519"/>
      <c r="J75" s="520"/>
      <c r="K75" s="504" t="s">
        <v>140</v>
      </c>
      <c r="L75" s="504"/>
      <c r="M75" s="51" t="s">
        <v>316</v>
      </c>
      <c r="N75" s="515" t="s">
        <v>161</v>
      </c>
      <c r="O75" s="515"/>
      <c r="P75" s="516">
        <v>100</v>
      </c>
      <c r="Q75" s="516"/>
      <c r="R75" s="517" t="s">
        <v>353</v>
      </c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5</v>
      </c>
      <c r="B76" s="513"/>
      <c r="C76" s="104"/>
      <c r="D76" s="243"/>
      <c r="E76" s="240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6</v>
      </c>
      <c r="B77" s="513"/>
      <c r="C77" s="104"/>
      <c r="D77" s="243"/>
      <c r="E77" s="240"/>
      <c r="F77" s="518"/>
      <c r="G77" s="519"/>
      <c r="H77" s="519"/>
      <c r="I77" s="519"/>
      <c r="J77" s="520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7</v>
      </c>
      <c r="B78" s="513"/>
      <c r="C78" s="104"/>
      <c r="D78" s="243"/>
      <c r="E78" s="240"/>
      <c r="F78" s="518"/>
      <c r="G78" s="519"/>
      <c r="H78" s="519"/>
      <c r="I78" s="519"/>
      <c r="J78" s="520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8</v>
      </c>
      <c r="B79" s="513"/>
      <c r="C79" s="104"/>
      <c r="D79" s="243"/>
      <c r="E79" s="240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5.5" customHeight="1">
      <c r="A80" s="512">
        <v>9</v>
      </c>
      <c r="B80" s="513"/>
      <c r="C80" s="104"/>
      <c r="D80" s="243"/>
      <c r="E80" s="240"/>
      <c r="F80" s="514"/>
      <c r="G80" s="504"/>
      <c r="H80" s="504"/>
      <c r="I80" s="504"/>
      <c r="J80" s="504"/>
      <c r="K80" s="504"/>
      <c r="L80" s="504"/>
      <c r="M80" s="51"/>
      <c r="N80" s="515"/>
      <c r="O80" s="515"/>
      <c r="P80" s="516"/>
      <c r="Q80" s="516"/>
      <c r="R80" s="517"/>
      <c r="S80" s="517"/>
      <c r="T80" s="517"/>
      <c r="U80" s="517"/>
      <c r="V80" s="517"/>
      <c r="W80" s="517"/>
      <c r="X80" s="517"/>
      <c r="Y80" s="517"/>
      <c r="Z80" s="517"/>
      <c r="AA80" s="517"/>
      <c r="AB80" s="504"/>
      <c r="AC80" s="504"/>
      <c r="AD80" s="505"/>
      <c r="AF80" s="50"/>
    </row>
    <row r="81" spans="1:32" ht="25.5" customHeight="1">
      <c r="A81" s="512">
        <v>10</v>
      </c>
      <c r="B81" s="513"/>
      <c r="C81" s="104"/>
      <c r="D81" s="243"/>
      <c r="E81" s="240"/>
      <c r="F81" s="514"/>
      <c r="G81" s="504"/>
      <c r="H81" s="504"/>
      <c r="I81" s="504"/>
      <c r="J81" s="504"/>
      <c r="K81" s="504"/>
      <c r="L81" s="504"/>
      <c r="M81" s="51"/>
      <c r="N81" s="515"/>
      <c r="O81" s="515"/>
      <c r="P81" s="516"/>
      <c r="Q81" s="516"/>
      <c r="R81" s="517"/>
      <c r="S81" s="517"/>
      <c r="T81" s="517"/>
      <c r="U81" s="517"/>
      <c r="V81" s="517"/>
      <c r="W81" s="517"/>
      <c r="X81" s="517"/>
      <c r="Y81" s="517"/>
      <c r="Z81" s="517"/>
      <c r="AA81" s="517"/>
      <c r="AB81" s="504"/>
      <c r="AC81" s="504"/>
      <c r="AD81" s="505"/>
      <c r="AF81" s="50"/>
    </row>
    <row r="82" spans="1:32" ht="26.25" customHeight="1" thickBot="1">
      <c r="A82" s="484" t="s">
        <v>354</v>
      </c>
      <c r="B82" s="484"/>
      <c r="C82" s="484"/>
      <c r="D82" s="484"/>
      <c r="E82" s="484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23.25" thickBot="1">
      <c r="A83" s="506" t="s">
        <v>111</v>
      </c>
      <c r="B83" s="507"/>
      <c r="C83" s="242" t="s">
        <v>2</v>
      </c>
      <c r="D83" s="242" t="s">
        <v>37</v>
      </c>
      <c r="E83" s="242" t="s">
        <v>121</v>
      </c>
      <c r="F83" s="486" t="s">
        <v>38</v>
      </c>
      <c r="G83" s="486"/>
      <c r="H83" s="486"/>
      <c r="I83" s="486"/>
      <c r="J83" s="486"/>
      <c r="K83" s="508" t="s">
        <v>58</v>
      </c>
      <c r="L83" s="509"/>
      <c r="M83" s="509"/>
      <c r="N83" s="509"/>
      <c r="O83" s="509"/>
      <c r="P83" s="509"/>
      <c r="Q83" s="509"/>
      <c r="R83" s="509"/>
      <c r="S83" s="510"/>
      <c r="T83" s="486" t="s">
        <v>49</v>
      </c>
      <c r="U83" s="486"/>
      <c r="V83" s="508" t="s">
        <v>50</v>
      </c>
      <c r="W83" s="510"/>
      <c r="X83" s="509" t="s">
        <v>51</v>
      </c>
      <c r="Y83" s="509"/>
      <c r="Z83" s="509"/>
      <c r="AA83" s="509"/>
      <c r="AB83" s="509"/>
      <c r="AC83" s="509"/>
      <c r="AD83" s="511"/>
      <c r="AF83" s="50"/>
    </row>
    <row r="84" spans="1:32" ht="33.75" customHeight="1">
      <c r="A84" s="478">
        <v>1</v>
      </c>
      <c r="B84" s="479"/>
      <c r="C84" s="244"/>
      <c r="D84" s="244"/>
      <c r="E84" s="65"/>
      <c r="F84" s="493"/>
      <c r="G84" s="494"/>
      <c r="H84" s="494"/>
      <c r="I84" s="494"/>
      <c r="J84" s="495"/>
      <c r="K84" s="496"/>
      <c r="L84" s="497"/>
      <c r="M84" s="497"/>
      <c r="N84" s="497"/>
      <c r="O84" s="497"/>
      <c r="P84" s="497"/>
      <c r="Q84" s="497"/>
      <c r="R84" s="497"/>
      <c r="S84" s="498"/>
      <c r="T84" s="499"/>
      <c r="U84" s="500"/>
      <c r="V84" s="501"/>
      <c r="W84" s="501"/>
      <c r="X84" s="502"/>
      <c r="Y84" s="502"/>
      <c r="Z84" s="502"/>
      <c r="AA84" s="502"/>
      <c r="AB84" s="502"/>
      <c r="AC84" s="502"/>
      <c r="AD84" s="503"/>
      <c r="AF84" s="50"/>
    </row>
    <row r="85" spans="1:32" ht="30" customHeight="1">
      <c r="A85" s="471">
        <f>A84+1</f>
        <v>2</v>
      </c>
      <c r="B85" s="472"/>
      <c r="C85" s="243"/>
      <c r="D85" s="243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ref="A86:A90" si="27">A85+1</f>
        <v>3</v>
      </c>
      <c r="B86" s="472"/>
      <c r="C86" s="243"/>
      <c r="D86" s="243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27"/>
        <v>4</v>
      </c>
      <c r="B87" s="472"/>
      <c r="C87" s="243"/>
      <c r="D87" s="243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27"/>
        <v>5</v>
      </c>
      <c r="B88" s="472"/>
      <c r="C88" s="243"/>
      <c r="D88" s="243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0" customHeight="1">
      <c r="A89" s="471">
        <f t="shared" si="27"/>
        <v>6</v>
      </c>
      <c r="B89" s="472"/>
      <c r="C89" s="243"/>
      <c r="D89" s="243"/>
      <c r="E89" s="32"/>
      <c r="F89" s="472"/>
      <c r="G89" s="472"/>
      <c r="H89" s="472"/>
      <c r="I89" s="472"/>
      <c r="J89" s="472"/>
      <c r="K89" s="487"/>
      <c r="L89" s="488"/>
      <c r="M89" s="488"/>
      <c r="N89" s="488"/>
      <c r="O89" s="488"/>
      <c r="P89" s="488"/>
      <c r="Q89" s="488"/>
      <c r="R89" s="488"/>
      <c r="S89" s="489"/>
      <c r="T89" s="490"/>
      <c r="U89" s="490"/>
      <c r="V89" s="490"/>
      <c r="W89" s="490"/>
      <c r="X89" s="491"/>
      <c r="Y89" s="491"/>
      <c r="Z89" s="491"/>
      <c r="AA89" s="491"/>
      <c r="AB89" s="491"/>
      <c r="AC89" s="491"/>
      <c r="AD89" s="492"/>
      <c r="AF89" s="50"/>
    </row>
    <row r="90" spans="1:32" ht="30" customHeight="1">
      <c r="A90" s="471">
        <f t="shared" si="27"/>
        <v>7</v>
      </c>
      <c r="B90" s="472"/>
      <c r="C90" s="243"/>
      <c r="D90" s="243"/>
      <c r="E90" s="32"/>
      <c r="F90" s="472"/>
      <c r="G90" s="472"/>
      <c r="H90" s="472"/>
      <c r="I90" s="472"/>
      <c r="J90" s="472"/>
      <c r="K90" s="487"/>
      <c r="L90" s="488"/>
      <c r="M90" s="488"/>
      <c r="N90" s="488"/>
      <c r="O90" s="488"/>
      <c r="P90" s="488"/>
      <c r="Q90" s="488"/>
      <c r="R90" s="488"/>
      <c r="S90" s="489"/>
      <c r="T90" s="490"/>
      <c r="U90" s="490"/>
      <c r="V90" s="490"/>
      <c r="W90" s="490"/>
      <c r="X90" s="491"/>
      <c r="Y90" s="491"/>
      <c r="Z90" s="491"/>
      <c r="AA90" s="491"/>
      <c r="AB90" s="491"/>
      <c r="AC90" s="491"/>
      <c r="AD90" s="492"/>
      <c r="AF90" s="50"/>
    </row>
    <row r="91" spans="1:32" ht="36" thickBot="1">
      <c r="A91" s="484" t="s">
        <v>355</v>
      </c>
      <c r="B91" s="484"/>
      <c r="C91" s="484"/>
      <c r="D91" s="484"/>
      <c r="E91" s="484"/>
      <c r="F91" s="37"/>
      <c r="G91" s="37"/>
      <c r="H91" s="38"/>
      <c r="I91" s="38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F91" s="50"/>
    </row>
    <row r="92" spans="1:32" ht="30.75" customHeight="1" thickBot="1">
      <c r="A92" s="485" t="s">
        <v>111</v>
      </c>
      <c r="B92" s="486"/>
      <c r="C92" s="476" t="s">
        <v>52</v>
      </c>
      <c r="D92" s="476"/>
      <c r="E92" s="476" t="s">
        <v>53</v>
      </c>
      <c r="F92" s="476"/>
      <c r="G92" s="476"/>
      <c r="H92" s="476"/>
      <c r="I92" s="476"/>
      <c r="J92" s="476"/>
      <c r="K92" s="476" t="s">
        <v>54</v>
      </c>
      <c r="L92" s="476"/>
      <c r="M92" s="476"/>
      <c r="N92" s="476"/>
      <c r="O92" s="476"/>
      <c r="P92" s="476"/>
      <c r="Q92" s="476"/>
      <c r="R92" s="476"/>
      <c r="S92" s="476"/>
      <c r="T92" s="476" t="s">
        <v>55</v>
      </c>
      <c r="U92" s="476"/>
      <c r="V92" s="476" t="s">
        <v>56</v>
      </c>
      <c r="W92" s="476"/>
      <c r="X92" s="476"/>
      <c r="Y92" s="476" t="s">
        <v>51</v>
      </c>
      <c r="Z92" s="476"/>
      <c r="AA92" s="476"/>
      <c r="AB92" s="476"/>
      <c r="AC92" s="476"/>
      <c r="AD92" s="477"/>
      <c r="AF92" s="50"/>
    </row>
    <row r="93" spans="1:32" ht="30.75" customHeight="1">
      <c r="A93" s="478">
        <v>1</v>
      </c>
      <c r="B93" s="479"/>
      <c r="C93" s="480">
        <v>9</v>
      </c>
      <c r="D93" s="480"/>
      <c r="E93" s="480" t="s">
        <v>125</v>
      </c>
      <c r="F93" s="480"/>
      <c r="G93" s="480"/>
      <c r="H93" s="480"/>
      <c r="I93" s="480"/>
      <c r="J93" s="480"/>
      <c r="K93" s="480" t="s">
        <v>132</v>
      </c>
      <c r="L93" s="480"/>
      <c r="M93" s="480"/>
      <c r="N93" s="480"/>
      <c r="O93" s="480"/>
      <c r="P93" s="480"/>
      <c r="Q93" s="480"/>
      <c r="R93" s="480"/>
      <c r="S93" s="480"/>
      <c r="T93" s="480" t="s">
        <v>126</v>
      </c>
      <c r="U93" s="480"/>
      <c r="V93" s="481" t="s">
        <v>129</v>
      </c>
      <c r="W93" s="481"/>
      <c r="X93" s="481"/>
      <c r="Y93" s="482"/>
      <c r="Z93" s="482"/>
      <c r="AA93" s="482"/>
      <c r="AB93" s="482"/>
      <c r="AC93" s="482"/>
      <c r="AD93" s="483"/>
      <c r="AF93" s="50"/>
    </row>
    <row r="94" spans="1:32" ht="30.75" customHeight="1">
      <c r="A94" s="471">
        <v>2</v>
      </c>
      <c r="B94" s="472"/>
      <c r="C94" s="473"/>
      <c r="D94" s="473"/>
      <c r="E94" s="473"/>
      <c r="F94" s="473"/>
      <c r="G94" s="473"/>
      <c r="H94" s="473"/>
      <c r="I94" s="473"/>
      <c r="J94" s="473"/>
      <c r="K94" s="473"/>
      <c r="L94" s="473"/>
      <c r="M94" s="473"/>
      <c r="N94" s="473"/>
      <c r="O94" s="473"/>
      <c r="P94" s="473"/>
      <c r="Q94" s="473"/>
      <c r="R94" s="473"/>
      <c r="S94" s="473"/>
      <c r="T94" s="474"/>
      <c r="U94" s="474"/>
      <c r="V94" s="475"/>
      <c r="W94" s="475"/>
      <c r="X94" s="475"/>
      <c r="Y94" s="463"/>
      <c r="Z94" s="463"/>
      <c r="AA94" s="463"/>
      <c r="AB94" s="463"/>
      <c r="AC94" s="463"/>
      <c r="AD94" s="464"/>
      <c r="AF94" s="50"/>
    </row>
    <row r="95" spans="1:32" ht="30.75" customHeight="1" thickBot="1">
      <c r="A95" s="465">
        <v>3</v>
      </c>
      <c r="B95" s="466"/>
      <c r="C95" s="467"/>
      <c r="D95" s="467"/>
      <c r="E95" s="467"/>
      <c r="F95" s="467"/>
      <c r="G95" s="467"/>
      <c r="H95" s="467"/>
      <c r="I95" s="467"/>
      <c r="J95" s="467"/>
      <c r="K95" s="467"/>
      <c r="L95" s="467"/>
      <c r="M95" s="467"/>
      <c r="N95" s="467"/>
      <c r="O95" s="467"/>
      <c r="P95" s="467"/>
      <c r="Q95" s="467"/>
      <c r="R95" s="467"/>
      <c r="S95" s="467"/>
      <c r="T95" s="467"/>
      <c r="U95" s="467"/>
      <c r="V95" s="468"/>
      <c r="W95" s="468"/>
      <c r="X95" s="468"/>
      <c r="Y95" s="469"/>
      <c r="Z95" s="469"/>
      <c r="AA95" s="469"/>
      <c r="AB95" s="469"/>
      <c r="AC95" s="469"/>
      <c r="AD95" s="470"/>
      <c r="AF95" s="50"/>
    </row>
  </sheetData>
  <mergeCells count="232">
    <mergeCell ref="Y94:AD94"/>
    <mergeCell ref="A95:B95"/>
    <mergeCell ref="C95:D95"/>
    <mergeCell ref="E95:J95"/>
    <mergeCell ref="K95:S95"/>
    <mergeCell ref="T95:U95"/>
    <mergeCell ref="V95:X95"/>
    <mergeCell ref="Y95:AD95"/>
    <mergeCell ref="A94:B94"/>
    <mergeCell ref="C94:D94"/>
    <mergeCell ref="E94:J94"/>
    <mergeCell ref="K94:S94"/>
    <mergeCell ref="T94:U94"/>
    <mergeCell ref="V94:X94"/>
    <mergeCell ref="V92:X92"/>
    <mergeCell ref="Y92:AD92"/>
    <mergeCell ref="A93:B93"/>
    <mergeCell ref="C93:D93"/>
    <mergeCell ref="E93:J93"/>
    <mergeCell ref="K93:S93"/>
    <mergeCell ref="T93:U93"/>
    <mergeCell ref="V93:X93"/>
    <mergeCell ref="Y93:AD93"/>
    <mergeCell ref="A91:E91"/>
    <mergeCell ref="A92:B92"/>
    <mergeCell ref="C92:D92"/>
    <mergeCell ref="E92:J92"/>
    <mergeCell ref="K92:S92"/>
    <mergeCell ref="T92:U92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B81:AD81"/>
    <mergeCell ref="A82:E82"/>
    <mergeCell ref="A83:B83"/>
    <mergeCell ref="F83:J83"/>
    <mergeCell ref="K83:S83"/>
    <mergeCell ref="T83:U83"/>
    <mergeCell ref="V83:W83"/>
    <mergeCell ref="X83:AD83"/>
    <mergeCell ref="A81:B81"/>
    <mergeCell ref="F81:J81"/>
    <mergeCell ref="K81:L81"/>
    <mergeCell ref="N81:O81"/>
    <mergeCell ref="P81:Q81"/>
    <mergeCell ref="R81:AA81"/>
    <mergeCell ref="AB79:AD79"/>
    <mergeCell ref="A80:B80"/>
    <mergeCell ref="F80:J80"/>
    <mergeCell ref="K80:L80"/>
    <mergeCell ref="N80:O80"/>
    <mergeCell ref="P80:Q80"/>
    <mergeCell ref="R80:AA80"/>
    <mergeCell ref="AB80:AD80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R71:AA71"/>
    <mergeCell ref="AB71:AD71"/>
    <mergeCell ref="A72:B72"/>
    <mergeCell ref="F72:J72"/>
    <mergeCell ref="K72:L72"/>
    <mergeCell ref="N72:O72"/>
    <mergeCell ref="P72:Q72"/>
    <mergeCell ref="R72:AA72"/>
    <mergeCell ref="AB72:AD72"/>
    <mergeCell ref="A70:E70"/>
    <mergeCell ref="A71:B71"/>
    <mergeCell ref="F71:J71"/>
    <mergeCell ref="K71:L71"/>
    <mergeCell ref="N71:O71"/>
    <mergeCell ref="P71:Q71"/>
    <mergeCell ref="A68:B68"/>
    <mergeCell ref="F68:M68"/>
    <mergeCell ref="P68:Q68"/>
    <mergeCell ref="R68:U68"/>
    <mergeCell ref="V68:AD68"/>
    <mergeCell ref="A69:B69"/>
    <mergeCell ref="F69:M69"/>
    <mergeCell ref="P69:Q69"/>
    <mergeCell ref="R69:U69"/>
    <mergeCell ref="V69:AD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D4:AD5"/>
    <mergeCell ref="A30:H30"/>
    <mergeCell ref="A57:E57"/>
    <mergeCell ref="A58:M58"/>
    <mergeCell ref="N58:AD58"/>
    <mergeCell ref="A59:B59"/>
    <mergeCell ref="F59:M59"/>
    <mergeCell ref="P59:Q59"/>
    <mergeCell ref="R59:U59"/>
    <mergeCell ref="V59:AD59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5" max="29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A5A3-E64C-40A8-A991-9FFE4E7CF487}">
  <sheetPr>
    <pageSetUpPr fitToPage="1"/>
  </sheetPr>
  <dimension ref="A1:AF94"/>
  <sheetViews>
    <sheetView view="pageBreakPreview" zoomScale="70" zoomScaleNormal="72" zoomScaleSheetLayoutView="70" workbookViewId="0">
      <selection activeCell="A91" sqref="A91:B91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356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257" t="s">
        <v>17</v>
      </c>
      <c r="L5" s="257" t="s">
        <v>18</v>
      </c>
      <c r="M5" s="257" t="s">
        <v>19</v>
      </c>
      <c r="N5" s="257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112</v>
      </c>
      <c r="D6" s="52" t="s">
        <v>127</v>
      </c>
      <c r="E6" s="53" t="s">
        <v>180</v>
      </c>
      <c r="F6" s="30" t="s">
        <v>141</v>
      </c>
      <c r="G6" s="12">
        <v>2</v>
      </c>
      <c r="H6" s="13">
        <v>24</v>
      </c>
      <c r="I6" s="31">
        <v>185000</v>
      </c>
      <c r="J6" s="14">
        <v>1942</v>
      </c>
      <c r="K6" s="15">
        <f>L6+5840+11504+11434+11462+11458+11584+10978+11678+11622+11070+11640+11234+5200+11012</f>
        <v>149658</v>
      </c>
      <c r="L6" s="15">
        <f>971*2</f>
        <v>1942</v>
      </c>
      <c r="M6" s="15">
        <f t="shared" ref="M6:M28" si="0">L6-N6</f>
        <v>1942</v>
      </c>
      <c r="N6" s="15">
        <v>0</v>
      </c>
      <c r="O6" s="58">
        <f t="shared" ref="O6:O29" si="1">IF(L6=0,"0",N6/L6)</f>
        <v>0</v>
      </c>
      <c r="P6" s="39">
        <f t="shared" ref="P6:P28" si="2">IF(L6=0,"0",(24-Q6))</f>
        <v>5</v>
      </c>
      <c r="Q6" s="40">
        <f t="shared" ref="Q6:Q28" si="3">SUM(R6:AA6)</f>
        <v>19</v>
      </c>
      <c r="R6" s="7"/>
      <c r="S6" s="6"/>
      <c r="T6" s="16"/>
      <c r="U6" s="16"/>
      <c r="V6" s="17">
        <v>19</v>
      </c>
      <c r="W6" s="5"/>
      <c r="X6" s="16"/>
      <c r="Y6" s="16"/>
      <c r="Z6" s="16"/>
      <c r="AA6" s="18"/>
      <c r="AB6" s="8">
        <f t="shared" ref="AB6:AB28" si="4">IF(J6=0,"0",(L6/J6))</f>
        <v>1</v>
      </c>
      <c r="AC6" s="9">
        <f t="shared" ref="AC6:AC28" si="5">IF(P6=0,"0",(P6/24))</f>
        <v>0.20833333333333334</v>
      </c>
      <c r="AD6" s="10">
        <f t="shared" ref="AD6:AD28" si="6">AC6*AB6*(1-O6)</f>
        <v>0.20833333333333334</v>
      </c>
      <c r="AE6" s="36">
        <f t="shared" ref="AE6:AE28" si="7">$AD$29</f>
        <v>0.51449275362318836</v>
      </c>
      <c r="AF6" s="84">
        <f t="shared" ref="AF6:AF28" si="8">A6</f>
        <v>1</v>
      </c>
    </row>
    <row r="7" spans="1:32" ht="27" customHeight="1">
      <c r="A7" s="112">
        <v>1</v>
      </c>
      <c r="B7" s="11" t="s">
        <v>57</v>
      </c>
      <c r="C7" s="34" t="s">
        <v>116</v>
      </c>
      <c r="D7" s="52" t="s">
        <v>127</v>
      </c>
      <c r="E7" s="53" t="s">
        <v>348</v>
      </c>
      <c r="F7" s="30" t="s">
        <v>357</v>
      </c>
      <c r="G7" s="12">
        <v>1</v>
      </c>
      <c r="H7" s="13">
        <v>24</v>
      </c>
      <c r="I7" s="31">
        <v>4600</v>
      </c>
      <c r="J7" s="14">
        <v>3330</v>
      </c>
      <c r="K7" s="15">
        <f>L7</f>
        <v>3330</v>
      </c>
      <c r="L7" s="15">
        <f>430+2900</f>
        <v>3330</v>
      </c>
      <c r="M7" s="15">
        <f t="shared" ref="M7" si="9">L7-N7</f>
        <v>3330</v>
      </c>
      <c r="N7" s="15">
        <v>0</v>
      </c>
      <c r="O7" s="58">
        <f t="shared" ref="O7" si="10">IF(L7=0,"0",N7/L7)</f>
        <v>0</v>
      </c>
      <c r="P7" s="39">
        <f t="shared" ref="P7" si="11">IF(L7=0,"0",(24-Q7))</f>
        <v>16</v>
      </c>
      <c r="Q7" s="40">
        <f t="shared" ref="Q7" si="12">SUM(R7:AA7)</f>
        <v>8</v>
      </c>
      <c r="R7" s="7"/>
      <c r="S7" s="6">
        <v>8</v>
      </c>
      <c r="T7" s="16"/>
      <c r="U7" s="16"/>
      <c r="V7" s="17"/>
      <c r="W7" s="5"/>
      <c r="X7" s="16"/>
      <c r="Y7" s="16"/>
      <c r="Z7" s="16"/>
      <c r="AA7" s="18"/>
      <c r="AB7" s="8">
        <f t="shared" ref="AB7" si="13">IF(J7=0,"0",(L7/J7))</f>
        <v>1</v>
      </c>
      <c r="AC7" s="9">
        <f t="shared" ref="AC7" si="14">IF(P7=0,"0",(P7/24))</f>
        <v>0.66666666666666663</v>
      </c>
      <c r="AD7" s="10">
        <f t="shared" ref="AD7" si="15">AC7*AB7*(1-O7)</f>
        <v>0.66666666666666663</v>
      </c>
      <c r="AE7" s="36">
        <f t="shared" si="7"/>
        <v>0.51449275362318836</v>
      </c>
      <c r="AF7" s="84">
        <f t="shared" ref="AF7" si="16">A7</f>
        <v>1</v>
      </c>
    </row>
    <row r="8" spans="1:32" ht="27" customHeight="1">
      <c r="A8" s="112">
        <v>2</v>
      </c>
      <c r="B8" s="11" t="s">
        <v>57</v>
      </c>
      <c r="C8" s="34" t="s">
        <v>138</v>
      </c>
      <c r="D8" s="52" t="s">
        <v>142</v>
      </c>
      <c r="E8" s="53" t="s">
        <v>339</v>
      </c>
      <c r="F8" s="30" t="s">
        <v>252</v>
      </c>
      <c r="G8" s="12">
        <v>2</v>
      </c>
      <c r="H8" s="13">
        <v>24</v>
      </c>
      <c r="I8" s="31">
        <v>20000</v>
      </c>
      <c r="J8" s="14">
        <v>12512</v>
      </c>
      <c r="K8" s="15">
        <f>L8+5400</f>
        <v>17912</v>
      </c>
      <c r="L8" s="15">
        <f>3138*2+3118*2</f>
        <v>12512</v>
      </c>
      <c r="M8" s="15">
        <f t="shared" si="0"/>
        <v>12512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0.51449275362318836</v>
      </c>
      <c r="AF8" s="84">
        <f t="shared" si="8"/>
        <v>2</v>
      </c>
    </row>
    <row r="9" spans="1:32" ht="27" customHeight="1">
      <c r="A9" s="112">
        <v>3</v>
      </c>
      <c r="B9" s="11" t="s">
        <v>57</v>
      </c>
      <c r="C9" s="34" t="s">
        <v>138</v>
      </c>
      <c r="D9" s="52" t="s">
        <v>115</v>
      </c>
      <c r="E9" s="53" t="s">
        <v>253</v>
      </c>
      <c r="F9" s="30" t="s">
        <v>139</v>
      </c>
      <c r="G9" s="12">
        <v>2</v>
      </c>
      <c r="H9" s="13">
        <v>24</v>
      </c>
      <c r="I9" s="7">
        <v>160000</v>
      </c>
      <c r="J9" s="14">
        <v>11766</v>
      </c>
      <c r="K9" s="15">
        <f>L9+8132+2262+5886+10522+11854+11762</f>
        <v>62184</v>
      </c>
      <c r="L9" s="15">
        <f>2951*2+2932*2</f>
        <v>11766</v>
      </c>
      <c r="M9" s="15">
        <f t="shared" si="0"/>
        <v>11766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0.51449275362318836</v>
      </c>
      <c r="AF9" s="84">
        <f t="shared" si="8"/>
        <v>3</v>
      </c>
    </row>
    <row r="10" spans="1:32" ht="27" customHeight="1">
      <c r="A10" s="96">
        <v>4</v>
      </c>
      <c r="B10" s="11" t="s">
        <v>57</v>
      </c>
      <c r="C10" s="34" t="s">
        <v>138</v>
      </c>
      <c r="D10" s="52" t="s">
        <v>123</v>
      </c>
      <c r="E10" s="53" t="s">
        <v>305</v>
      </c>
      <c r="F10" s="30" t="s">
        <v>139</v>
      </c>
      <c r="G10" s="12">
        <v>2</v>
      </c>
      <c r="H10" s="13">
        <v>24</v>
      </c>
      <c r="I10" s="7">
        <v>160000</v>
      </c>
      <c r="J10" s="14">
        <v>10818</v>
      </c>
      <c r="K10" s="15">
        <f>L10+10280+10788</f>
        <v>31886</v>
      </c>
      <c r="L10" s="15">
        <f>2716*2+2693*2</f>
        <v>10818</v>
      </c>
      <c r="M10" s="15">
        <f t="shared" si="0"/>
        <v>10818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6"/>
        <v>1</v>
      </c>
      <c r="AE10" s="36">
        <f t="shared" si="7"/>
        <v>0.51449275362318836</v>
      </c>
      <c r="AF10" s="84">
        <f t="shared" si="8"/>
        <v>4</v>
      </c>
    </row>
    <row r="11" spans="1:32" ht="27" customHeight="1">
      <c r="A11" s="96">
        <v>5</v>
      </c>
      <c r="B11" s="11" t="s">
        <v>57</v>
      </c>
      <c r="C11" s="11" t="s">
        <v>163</v>
      </c>
      <c r="D11" s="52"/>
      <c r="E11" s="53" t="s">
        <v>204</v>
      </c>
      <c r="F11" s="30" t="s">
        <v>205</v>
      </c>
      <c r="G11" s="33">
        <v>2</v>
      </c>
      <c r="H11" s="35">
        <v>24</v>
      </c>
      <c r="I11" s="7">
        <v>100000</v>
      </c>
      <c r="J11" s="14">
        <v>10206</v>
      </c>
      <c r="K11" s="15">
        <f>L11</f>
        <v>0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/>
      <c r="X11" s="16"/>
      <c r="Y11" s="16"/>
      <c r="Z11" s="16"/>
      <c r="AA11" s="18">
        <v>24</v>
      </c>
      <c r="AB11" s="8">
        <f t="shared" si="4"/>
        <v>0</v>
      </c>
      <c r="AC11" s="9">
        <f t="shared" si="5"/>
        <v>0</v>
      </c>
      <c r="AD11" s="10">
        <f t="shared" si="6"/>
        <v>0</v>
      </c>
      <c r="AE11" s="36">
        <f t="shared" si="7"/>
        <v>0.51449275362318836</v>
      </c>
      <c r="AF11" s="84">
        <f t="shared" si="8"/>
        <v>5</v>
      </c>
    </row>
    <row r="12" spans="1:32" ht="27" customHeight="1">
      <c r="A12" s="96">
        <v>6</v>
      </c>
      <c r="B12" s="11" t="s">
        <v>57</v>
      </c>
      <c r="C12" s="11" t="s">
        <v>112</v>
      </c>
      <c r="D12" s="52" t="s">
        <v>322</v>
      </c>
      <c r="E12" s="53" t="s">
        <v>323</v>
      </c>
      <c r="F12" s="30" t="s">
        <v>324</v>
      </c>
      <c r="G12" s="33">
        <v>1</v>
      </c>
      <c r="H12" s="35">
        <v>24</v>
      </c>
      <c r="I12" s="7">
        <v>6000</v>
      </c>
      <c r="J12" s="14">
        <v>3945</v>
      </c>
      <c r="K12" s="15">
        <f>L12+1189+5184</f>
        <v>10318</v>
      </c>
      <c r="L12" s="15">
        <f>2720+1225</f>
        <v>3945</v>
      </c>
      <c r="M12" s="15">
        <f t="shared" si="0"/>
        <v>3945</v>
      </c>
      <c r="N12" s="15">
        <v>0</v>
      </c>
      <c r="O12" s="58">
        <f t="shared" si="1"/>
        <v>0</v>
      </c>
      <c r="P12" s="39">
        <f t="shared" si="2"/>
        <v>20</v>
      </c>
      <c r="Q12" s="40">
        <f t="shared" si="3"/>
        <v>4</v>
      </c>
      <c r="R12" s="7"/>
      <c r="S12" s="6"/>
      <c r="T12" s="16"/>
      <c r="U12" s="16"/>
      <c r="V12" s="17"/>
      <c r="W12" s="5">
        <v>4</v>
      </c>
      <c r="X12" s="16"/>
      <c r="Y12" s="16"/>
      <c r="Z12" s="16"/>
      <c r="AA12" s="18"/>
      <c r="AB12" s="8">
        <f t="shared" si="4"/>
        <v>1</v>
      </c>
      <c r="AC12" s="9">
        <f t="shared" si="5"/>
        <v>0.83333333333333337</v>
      </c>
      <c r="AD12" s="10">
        <f t="shared" si="6"/>
        <v>0.83333333333333337</v>
      </c>
      <c r="AE12" s="36">
        <f t="shared" si="7"/>
        <v>0.51449275362318836</v>
      </c>
      <c r="AF12" s="84">
        <f t="shared" si="8"/>
        <v>6</v>
      </c>
    </row>
    <row r="13" spans="1:32" ht="27" customHeight="1">
      <c r="A13" s="96">
        <v>7</v>
      </c>
      <c r="B13" s="11" t="s">
        <v>57</v>
      </c>
      <c r="C13" s="34" t="s">
        <v>116</v>
      </c>
      <c r="D13" s="52" t="s">
        <v>122</v>
      </c>
      <c r="E13" s="53" t="s">
        <v>349</v>
      </c>
      <c r="F13" s="30" t="s">
        <v>206</v>
      </c>
      <c r="G13" s="12">
        <v>4</v>
      </c>
      <c r="H13" s="13">
        <v>22</v>
      </c>
      <c r="I13" s="31">
        <v>32000</v>
      </c>
      <c r="J13" s="5">
        <v>8800</v>
      </c>
      <c r="K13" s="15">
        <f>L13</f>
        <v>8800</v>
      </c>
      <c r="L13" s="15">
        <f>2200*4</f>
        <v>8800</v>
      </c>
      <c r="M13" s="15">
        <f t="shared" si="0"/>
        <v>8800</v>
      </c>
      <c r="N13" s="15">
        <v>0</v>
      </c>
      <c r="O13" s="58">
        <f t="shared" si="1"/>
        <v>0</v>
      </c>
      <c r="P13" s="39">
        <f t="shared" si="2"/>
        <v>13</v>
      </c>
      <c r="Q13" s="40">
        <f t="shared" si="3"/>
        <v>11</v>
      </c>
      <c r="R13" s="7"/>
      <c r="S13" s="6">
        <v>11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0.54166666666666663</v>
      </c>
      <c r="AD13" s="10">
        <f t="shared" si="6"/>
        <v>0.54166666666666663</v>
      </c>
      <c r="AE13" s="36">
        <f t="shared" si="7"/>
        <v>0.51449275362318836</v>
      </c>
      <c r="AF13" s="84">
        <f t="shared" si="8"/>
        <v>7</v>
      </c>
    </row>
    <row r="14" spans="1:32" ht="27" customHeight="1">
      <c r="A14" s="96">
        <v>8</v>
      </c>
      <c r="B14" s="11" t="s">
        <v>57</v>
      </c>
      <c r="C14" s="11" t="s">
        <v>112</v>
      </c>
      <c r="D14" s="52" t="s">
        <v>123</v>
      </c>
      <c r="E14" s="53" t="s">
        <v>179</v>
      </c>
      <c r="F14" s="30" t="s">
        <v>128</v>
      </c>
      <c r="G14" s="33">
        <v>2</v>
      </c>
      <c r="H14" s="35">
        <v>35</v>
      </c>
      <c r="I14" s="7">
        <v>190000</v>
      </c>
      <c r="J14" s="14">
        <v>12284</v>
      </c>
      <c r="K14" s="15">
        <f>L14+6644+12322+12086+12660+12576</f>
        <v>68572</v>
      </c>
      <c r="L14" s="15">
        <f>3088*2+3054*2</f>
        <v>12284</v>
      </c>
      <c r="M14" s="15">
        <f t="shared" si="0"/>
        <v>12284</v>
      </c>
      <c r="N14" s="15">
        <v>0</v>
      </c>
      <c r="O14" s="58">
        <f t="shared" si="1"/>
        <v>0</v>
      </c>
      <c r="P14" s="39">
        <f t="shared" si="2"/>
        <v>24</v>
      </c>
      <c r="Q14" s="40">
        <f t="shared" si="3"/>
        <v>0</v>
      </c>
      <c r="R14" s="7"/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1</v>
      </c>
      <c r="AD14" s="10">
        <f t="shared" si="6"/>
        <v>1</v>
      </c>
      <c r="AE14" s="36">
        <f t="shared" si="7"/>
        <v>0.51449275362318836</v>
      </c>
      <c r="AF14" s="84">
        <f t="shared" si="8"/>
        <v>8</v>
      </c>
    </row>
    <row r="15" spans="1:32" ht="27" customHeight="1">
      <c r="A15" s="105">
        <v>9</v>
      </c>
      <c r="B15" s="11" t="s">
        <v>57</v>
      </c>
      <c r="C15" s="34" t="s">
        <v>112</v>
      </c>
      <c r="D15" s="52" t="s">
        <v>115</v>
      </c>
      <c r="E15" s="53" t="s">
        <v>181</v>
      </c>
      <c r="F15" s="30" t="s">
        <v>171</v>
      </c>
      <c r="G15" s="33">
        <v>1</v>
      </c>
      <c r="H15" s="35">
        <v>50</v>
      </c>
      <c r="I15" s="7">
        <v>500</v>
      </c>
      <c r="J15" s="5">
        <v>608</v>
      </c>
      <c r="K15" s="15">
        <f>L15+290+608</f>
        <v>898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0.51449275362318836</v>
      </c>
      <c r="AF15" s="84">
        <f t="shared" si="8"/>
        <v>9</v>
      </c>
    </row>
    <row r="16" spans="1:32" ht="27" customHeight="1">
      <c r="A16" s="95">
        <v>10</v>
      </c>
      <c r="B16" s="11" t="s">
        <v>57</v>
      </c>
      <c r="C16" s="34" t="s">
        <v>116</v>
      </c>
      <c r="D16" s="52" t="s">
        <v>122</v>
      </c>
      <c r="E16" s="53" t="s">
        <v>136</v>
      </c>
      <c r="F16" s="30" t="s">
        <v>131</v>
      </c>
      <c r="G16" s="12">
        <v>4</v>
      </c>
      <c r="H16" s="13">
        <v>24</v>
      </c>
      <c r="I16" s="31">
        <v>12000</v>
      </c>
      <c r="J16" s="14">
        <v>12356</v>
      </c>
      <c r="K16" s="15">
        <f>L16+12356</f>
        <v>12356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0.51449275362318836</v>
      </c>
      <c r="AF16" s="84">
        <f t="shared" si="8"/>
        <v>10</v>
      </c>
    </row>
    <row r="17" spans="1:32" ht="27" customHeight="1">
      <c r="A17" s="112">
        <v>11</v>
      </c>
      <c r="B17" s="11" t="s">
        <v>57</v>
      </c>
      <c r="C17" s="34" t="s">
        <v>112</v>
      </c>
      <c r="D17" s="52" t="s">
        <v>115</v>
      </c>
      <c r="E17" s="53" t="s">
        <v>260</v>
      </c>
      <c r="F17" s="30" t="s">
        <v>128</v>
      </c>
      <c r="G17" s="12">
        <v>1</v>
      </c>
      <c r="H17" s="13">
        <v>24</v>
      </c>
      <c r="I17" s="7">
        <v>1300</v>
      </c>
      <c r="J17" s="14">
        <v>3597</v>
      </c>
      <c r="K17" s="15">
        <f>L17</f>
        <v>3597</v>
      </c>
      <c r="L17" s="15">
        <f>2272+1325</f>
        <v>3597</v>
      </c>
      <c r="M17" s="15">
        <f t="shared" si="0"/>
        <v>3597</v>
      </c>
      <c r="N17" s="15">
        <v>0</v>
      </c>
      <c r="O17" s="58">
        <f t="shared" si="1"/>
        <v>0</v>
      </c>
      <c r="P17" s="39">
        <f t="shared" si="2"/>
        <v>20</v>
      </c>
      <c r="Q17" s="40">
        <f t="shared" si="3"/>
        <v>4</v>
      </c>
      <c r="R17" s="7"/>
      <c r="S17" s="6"/>
      <c r="T17" s="16"/>
      <c r="U17" s="16"/>
      <c r="V17" s="17"/>
      <c r="W17" s="5"/>
      <c r="X17" s="16"/>
      <c r="Y17" s="16"/>
      <c r="Z17" s="16"/>
      <c r="AA17" s="18">
        <v>4</v>
      </c>
      <c r="AB17" s="8">
        <f t="shared" si="4"/>
        <v>1</v>
      </c>
      <c r="AC17" s="9">
        <f t="shared" si="5"/>
        <v>0.83333333333333337</v>
      </c>
      <c r="AD17" s="10">
        <f t="shared" si="6"/>
        <v>0.83333333333333337</v>
      </c>
      <c r="AE17" s="36">
        <f t="shared" si="7"/>
        <v>0.51449275362318836</v>
      </c>
      <c r="AF17" s="84">
        <f t="shared" si="8"/>
        <v>11</v>
      </c>
    </row>
    <row r="18" spans="1:32" ht="27" customHeight="1">
      <c r="A18" s="95">
        <v>12</v>
      </c>
      <c r="B18" s="11" t="s">
        <v>57</v>
      </c>
      <c r="C18" s="34" t="s">
        <v>296</v>
      </c>
      <c r="D18" s="52"/>
      <c r="E18" s="53" t="s">
        <v>297</v>
      </c>
      <c r="F18" s="30" t="s">
        <v>298</v>
      </c>
      <c r="G18" s="12">
        <v>4</v>
      </c>
      <c r="H18" s="13">
        <v>24</v>
      </c>
      <c r="I18" s="7">
        <v>40000</v>
      </c>
      <c r="J18" s="14">
        <v>24488</v>
      </c>
      <c r="K18" s="15">
        <f>L18+16652+24516+23120</f>
        <v>88776</v>
      </c>
      <c r="L18" s="15">
        <f>3079*4+3043*4</f>
        <v>24488</v>
      </c>
      <c r="M18" s="15">
        <f t="shared" si="0"/>
        <v>24488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6"/>
        <v>1</v>
      </c>
      <c r="AE18" s="36">
        <f t="shared" si="7"/>
        <v>0.51449275362318836</v>
      </c>
      <c r="AF18" s="84">
        <f t="shared" si="8"/>
        <v>12</v>
      </c>
    </row>
    <row r="19" spans="1:32" ht="27" customHeight="1">
      <c r="A19" s="96">
        <v>13</v>
      </c>
      <c r="B19" s="11" t="s">
        <v>57</v>
      </c>
      <c r="C19" s="11" t="s">
        <v>112</v>
      </c>
      <c r="D19" s="52" t="s">
        <v>137</v>
      </c>
      <c r="E19" s="53" t="s">
        <v>191</v>
      </c>
      <c r="F19" s="30" t="s">
        <v>130</v>
      </c>
      <c r="G19" s="33">
        <v>1</v>
      </c>
      <c r="H19" s="35">
        <v>24</v>
      </c>
      <c r="I19" s="7">
        <v>180000</v>
      </c>
      <c r="J19" s="14">
        <v>11300</v>
      </c>
      <c r="K19" s="15">
        <f>L19+9952+11100+11616+11336+11468+11654+10384+11002+11590+11484</f>
        <v>122886</v>
      </c>
      <c r="L19" s="15">
        <f>2801*2+2849*2</f>
        <v>11300</v>
      </c>
      <c r="M19" s="15">
        <f t="shared" si="0"/>
        <v>11300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6"/>
        <v>1</v>
      </c>
      <c r="AE19" s="36">
        <f t="shared" si="7"/>
        <v>0.51449275362318836</v>
      </c>
      <c r="AF19" s="84">
        <f t="shared" si="8"/>
        <v>13</v>
      </c>
    </row>
    <row r="20" spans="1:32" ht="27" customHeight="1">
      <c r="A20" s="96">
        <v>14</v>
      </c>
      <c r="B20" s="11" t="s">
        <v>57</v>
      </c>
      <c r="C20" s="11" t="s">
        <v>138</v>
      </c>
      <c r="D20" s="52" t="s">
        <v>340</v>
      </c>
      <c r="E20" s="53" t="s">
        <v>341</v>
      </c>
      <c r="F20" s="30" t="s">
        <v>139</v>
      </c>
      <c r="G20" s="33">
        <v>2</v>
      </c>
      <c r="H20" s="35">
        <v>24</v>
      </c>
      <c r="I20" s="7">
        <v>20000</v>
      </c>
      <c r="J20" s="14">
        <v>11466</v>
      </c>
      <c r="K20" s="15">
        <f>L20+7978</f>
        <v>19444</v>
      </c>
      <c r="L20" s="15">
        <f>2881*2+2852*2</f>
        <v>11466</v>
      </c>
      <c r="M20" s="15">
        <f t="shared" si="0"/>
        <v>11466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0.51449275362318836</v>
      </c>
      <c r="AF20" s="84">
        <f t="shared" si="8"/>
        <v>14</v>
      </c>
    </row>
    <row r="21" spans="1:32" ht="27" customHeight="1">
      <c r="A21" s="112">
        <v>15</v>
      </c>
      <c r="B21" s="11" t="s">
        <v>57</v>
      </c>
      <c r="C21" s="34" t="s">
        <v>112</v>
      </c>
      <c r="D21" s="52" t="s">
        <v>115</v>
      </c>
      <c r="E21" s="53" t="s">
        <v>178</v>
      </c>
      <c r="F21" s="30" t="s">
        <v>206</v>
      </c>
      <c r="G21" s="12">
        <v>2</v>
      </c>
      <c r="H21" s="13">
        <v>24</v>
      </c>
      <c r="I21" s="7">
        <v>230000</v>
      </c>
      <c r="J21" s="14">
        <v>10896</v>
      </c>
      <c r="K21" s="15">
        <f>L21+7008+11154+9077+8768+10676+10588+2521+7242+10236+10216+10614+10620+10632+10760+10206+10892+10136+10692</f>
        <v>182934</v>
      </c>
      <c r="L21" s="15">
        <f>2739*2+2709*2</f>
        <v>10896</v>
      </c>
      <c r="M21" s="15">
        <f t="shared" si="0"/>
        <v>10896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0.51449275362318836</v>
      </c>
      <c r="AF21" s="84">
        <f t="shared" si="8"/>
        <v>15</v>
      </c>
    </row>
    <row r="22" spans="1:32" ht="26.25" customHeight="1">
      <c r="A22" s="96">
        <v>16</v>
      </c>
      <c r="B22" s="11" t="s">
        <v>57</v>
      </c>
      <c r="C22" s="11" t="s">
        <v>113</v>
      </c>
      <c r="D22" s="52"/>
      <c r="E22" s="53" t="s">
        <v>325</v>
      </c>
      <c r="F22" s="12" t="s">
        <v>114</v>
      </c>
      <c r="G22" s="12">
        <v>3</v>
      </c>
      <c r="H22" s="35">
        <v>20</v>
      </c>
      <c r="I22" s="7">
        <v>200000</v>
      </c>
      <c r="J22" s="14">
        <v>39436</v>
      </c>
      <c r="K22" s="15">
        <f>L22+25797+46530</f>
        <v>111763</v>
      </c>
      <c r="L22" s="15">
        <f>2154*4+7705*4</f>
        <v>39436</v>
      </c>
      <c r="M22" s="15">
        <f t="shared" si="0"/>
        <v>39436</v>
      </c>
      <c r="N22" s="15">
        <v>0</v>
      </c>
      <c r="O22" s="58">
        <f t="shared" si="1"/>
        <v>0</v>
      </c>
      <c r="P22" s="39">
        <f t="shared" si="2"/>
        <v>18</v>
      </c>
      <c r="Q22" s="40">
        <f t="shared" si="3"/>
        <v>6</v>
      </c>
      <c r="R22" s="7"/>
      <c r="S22" s="6">
        <v>6</v>
      </c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0.75</v>
      </c>
      <c r="AD22" s="10">
        <f t="shared" si="6"/>
        <v>0.75</v>
      </c>
      <c r="AE22" s="36">
        <f t="shared" si="7"/>
        <v>0.51449275362318836</v>
      </c>
      <c r="AF22" s="84">
        <f t="shared" si="8"/>
        <v>16</v>
      </c>
    </row>
    <row r="23" spans="1:32" ht="18.75">
      <c r="A23" s="96">
        <v>31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0.51449275362318836</v>
      </c>
      <c r="AF23" s="84">
        <f t="shared" si="8"/>
        <v>31</v>
      </c>
    </row>
    <row r="24" spans="1:32" ht="18.75">
      <c r="A24" s="96">
        <v>32</v>
      </c>
      <c r="B24" s="11" t="s">
        <v>57</v>
      </c>
      <c r="C24" s="11"/>
      <c r="D24" s="52"/>
      <c r="E24" s="53"/>
      <c r="F24" s="12"/>
      <c r="G24" s="12"/>
      <c r="H24" s="35">
        <v>20</v>
      </c>
      <c r="I24" s="7"/>
      <c r="J24" s="14">
        <v>0</v>
      </c>
      <c r="K24" s="15">
        <f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>
        <v>24</v>
      </c>
      <c r="W24" s="5"/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0.51449275362318836</v>
      </c>
      <c r="AF24" s="84">
        <f t="shared" si="8"/>
        <v>32</v>
      </c>
    </row>
    <row r="25" spans="1:32" ht="18.75">
      <c r="A25" s="96">
        <v>33</v>
      </c>
      <c r="B25" s="11" t="s">
        <v>57</v>
      </c>
      <c r="C25" s="11" t="s">
        <v>116</v>
      </c>
      <c r="D25" s="52" t="s">
        <v>142</v>
      </c>
      <c r="E25" s="53" t="s">
        <v>146</v>
      </c>
      <c r="F25" s="12" t="s">
        <v>140</v>
      </c>
      <c r="G25" s="12">
        <v>1</v>
      </c>
      <c r="H25" s="35">
        <v>20</v>
      </c>
      <c r="I25" s="7">
        <v>140000</v>
      </c>
      <c r="J25" s="14">
        <v>3244</v>
      </c>
      <c r="K25" s="15">
        <f>L25+4387+7770+5806+7905+7479+7369+7360+2397+6904+7208+7013+6976+6992+2652+6495+7026+7051+7084+4297+6519+7042+3244</f>
        <v>136976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0.51449275362318836</v>
      </c>
      <c r="AF25" s="84">
        <f t="shared" si="8"/>
        <v>33</v>
      </c>
    </row>
    <row r="26" spans="1:32" ht="28.5">
      <c r="A26" s="96">
        <v>34</v>
      </c>
      <c r="B26" s="11" t="s">
        <v>57</v>
      </c>
      <c r="C26" s="11" t="s">
        <v>116</v>
      </c>
      <c r="D26" s="52" t="s">
        <v>142</v>
      </c>
      <c r="E26" s="53" t="s">
        <v>147</v>
      </c>
      <c r="F26" s="12" t="s">
        <v>131</v>
      </c>
      <c r="G26" s="12">
        <v>4</v>
      </c>
      <c r="H26" s="35">
        <v>20</v>
      </c>
      <c r="I26" s="7">
        <v>240000</v>
      </c>
      <c r="J26" s="14">
        <v>9988</v>
      </c>
      <c r="K26" s="15">
        <f>L26+24768+29084+29040+29804+27780+4064+26996+28972+25428+29132+9988</f>
        <v>265056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0.51449275362318836</v>
      </c>
      <c r="AF26" s="84">
        <f t="shared" si="8"/>
        <v>34</v>
      </c>
    </row>
    <row r="27" spans="1:32" ht="28.5">
      <c r="A27" s="96">
        <v>35</v>
      </c>
      <c r="B27" s="11" t="s">
        <v>57</v>
      </c>
      <c r="C27" s="11" t="s">
        <v>116</v>
      </c>
      <c r="D27" s="52" t="s">
        <v>122</v>
      </c>
      <c r="E27" s="53" t="s">
        <v>133</v>
      </c>
      <c r="F27" s="12" t="s">
        <v>131</v>
      </c>
      <c r="G27" s="12">
        <v>4</v>
      </c>
      <c r="H27" s="35">
        <v>20</v>
      </c>
      <c r="I27" s="7">
        <v>240000</v>
      </c>
      <c r="J27" s="14">
        <v>11600</v>
      </c>
      <c r="K27" s="15">
        <f>L27+25004+29968+31848+29672+31736+27000+29200+29420+29140+11600</f>
        <v>274588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0.51449275362318836</v>
      </c>
      <c r="AF27" s="84">
        <f t="shared" si="8"/>
        <v>35</v>
      </c>
    </row>
    <row r="28" spans="1:32" ht="19.5" thickBot="1">
      <c r="A28" s="96">
        <v>36</v>
      </c>
      <c r="B28" s="11" t="s">
        <v>57</v>
      </c>
      <c r="C28" s="11" t="s">
        <v>173</v>
      </c>
      <c r="D28" s="52"/>
      <c r="E28" s="53" t="s">
        <v>174</v>
      </c>
      <c r="F28" s="12" t="s">
        <v>175</v>
      </c>
      <c r="G28" s="12">
        <v>32</v>
      </c>
      <c r="H28" s="35">
        <v>20</v>
      </c>
      <c r="I28" s="7">
        <v>700000</v>
      </c>
      <c r="J28" s="14">
        <v>89792</v>
      </c>
      <c r="K28" s="15">
        <f>L28+326528+448864+89792</f>
        <v>865184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20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6"/>
        <v>0</v>
      </c>
      <c r="AE28" s="36">
        <f t="shared" si="7"/>
        <v>0.51449275362318836</v>
      </c>
      <c r="AF28" s="84">
        <f t="shared" si="8"/>
        <v>36</v>
      </c>
    </row>
    <row r="29" spans="1:32" ht="19.5" thickBot="1">
      <c r="A29" s="549" t="s">
        <v>34</v>
      </c>
      <c r="B29" s="550"/>
      <c r="C29" s="550"/>
      <c r="D29" s="550"/>
      <c r="E29" s="550"/>
      <c r="F29" s="550"/>
      <c r="G29" s="550"/>
      <c r="H29" s="551"/>
      <c r="I29" s="22">
        <f t="shared" ref="I29:N29" si="17">SUM(I6:I28)</f>
        <v>2861400</v>
      </c>
      <c r="J29" s="19">
        <f t="shared" si="17"/>
        <v>304374</v>
      </c>
      <c r="K29" s="20">
        <f t="shared" si="17"/>
        <v>2437118</v>
      </c>
      <c r="L29" s="21">
        <f t="shared" si="17"/>
        <v>166580</v>
      </c>
      <c r="M29" s="20">
        <f t="shared" si="17"/>
        <v>166580</v>
      </c>
      <c r="N29" s="21">
        <f t="shared" si="17"/>
        <v>0</v>
      </c>
      <c r="O29" s="41">
        <f t="shared" si="1"/>
        <v>0</v>
      </c>
      <c r="P29" s="42">
        <f t="shared" ref="P29:AA29" si="18">SUM(P6:P28)</f>
        <v>284</v>
      </c>
      <c r="Q29" s="43">
        <f t="shared" si="18"/>
        <v>268</v>
      </c>
      <c r="R29" s="23">
        <f t="shared" si="18"/>
        <v>0</v>
      </c>
      <c r="S29" s="24">
        <f t="shared" si="18"/>
        <v>25</v>
      </c>
      <c r="T29" s="24">
        <f t="shared" si="18"/>
        <v>0</v>
      </c>
      <c r="U29" s="24">
        <f t="shared" si="18"/>
        <v>0</v>
      </c>
      <c r="V29" s="25">
        <f t="shared" si="18"/>
        <v>67</v>
      </c>
      <c r="W29" s="26">
        <f t="shared" si="18"/>
        <v>148</v>
      </c>
      <c r="X29" s="27">
        <f t="shared" si="18"/>
        <v>0</v>
      </c>
      <c r="Y29" s="27">
        <f t="shared" si="18"/>
        <v>0</v>
      </c>
      <c r="Z29" s="27">
        <f t="shared" si="18"/>
        <v>0</v>
      </c>
      <c r="AA29" s="27">
        <f t="shared" si="18"/>
        <v>28</v>
      </c>
      <c r="AB29" s="28">
        <f>AVERAGE(AB6:AB28)</f>
        <v>0.66666666666666663</v>
      </c>
      <c r="AC29" s="4">
        <f>AVERAGE(AC6:AC28)</f>
        <v>0.51449275362318836</v>
      </c>
      <c r="AD29" s="4">
        <f>AVERAGE(AD6:AD28)</f>
        <v>0.51449275362318836</v>
      </c>
      <c r="AE29" s="29"/>
    </row>
    <row r="30" spans="1:32">
      <c r="T30" s="50" t="s">
        <v>143</v>
      </c>
    </row>
    <row r="31" spans="1:32" ht="18.75">
      <c r="A31" s="2"/>
      <c r="B31" s="2" t="s">
        <v>35</v>
      </c>
      <c r="C31" s="2"/>
      <c r="D31" s="2"/>
      <c r="E31" s="2"/>
      <c r="F31" s="2"/>
      <c r="G31" s="2"/>
      <c r="H31" s="3"/>
      <c r="I31" s="3"/>
      <c r="J31" s="2"/>
      <c r="K31" s="2"/>
      <c r="L31" s="2"/>
      <c r="M31" s="2"/>
      <c r="N31" s="2" t="s">
        <v>36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1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 t="s">
        <v>144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85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27">
      <c r="A46" s="59"/>
      <c r="B46" s="59"/>
      <c r="C46" s="59"/>
      <c r="D46" s="59"/>
      <c r="E46" s="59"/>
      <c r="F46" s="37"/>
      <c r="G46" s="37"/>
      <c r="H46" s="38"/>
      <c r="I46" s="38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F46" s="50"/>
    </row>
    <row r="47" spans="1:32" ht="29.25" customHeight="1">
      <c r="A47" s="60"/>
      <c r="B47" s="60"/>
      <c r="C47" s="61"/>
      <c r="D47" s="61"/>
      <c r="E47" s="61"/>
      <c r="F47" s="60"/>
      <c r="G47" s="60"/>
      <c r="H47" s="60"/>
      <c r="I47" s="60"/>
      <c r="J47" s="60"/>
      <c r="K47" s="60"/>
      <c r="L47" s="60"/>
      <c r="M47" s="61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4.2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36" thickBot="1">
      <c r="A56" s="552" t="s">
        <v>45</v>
      </c>
      <c r="B56" s="552"/>
      <c r="C56" s="552"/>
      <c r="D56" s="552"/>
      <c r="E56" s="552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26.25" thickBot="1">
      <c r="A57" s="553" t="s">
        <v>358</v>
      </c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5"/>
      <c r="N57" s="556" t="s">
        <v>359</v>
      </c>
      <c r="O57" s="557"/>
      <c r="P57" s="557"/>
      <c r="Q57" s="557"/>
      <c r="R57" s="557"/>
      <c r="S57" s="557"/>
      <c r="T57" s="557"/>
      <c r="U57" s="557"/>
      <c r="V57" s="557"/>
      <c r="W57" s="557"/>
      <c r="X57" s="557"/>
      <c r="Y57" s="557"/>
      <c r="Z57" s="557"/>
      <c r="AA57" s="557"/>
      <c r="AB57" s="557"/>
      <c r="AC57" s="557"/>
      <c r="AD57" s="558"/>
    </row>
    <row r="58" spans="1:32" ht="27" customHeight="1">
      <c r="A58" s="559" t="s">
        <v>2</v>
      </c>
      <c r="B58" s="560"/>
      <c r="C58" s="256" t="s">
        <v>46</v>
      </c>
      <c r="D58" s="256" t="s">
        <v>47</v>
      </c>
      <c r="E58" s="256" t="s">
        <v>107</v>
      </c>
      <c r="F58" s="561" t="s">
        <v>106</v>
      </c>
      <c r="G58" s="562"/>
      <c r="H58" s="562"/>
      <c r="I58" s="562"/>
      <c r="J58" s="562"/>
      <c r="K58" s="562"/>
      <c r="L58" s="562"/>
      <c r="M58" s="563"/>
      <c r="N58" s="67" t="s">
        <v>110</v>
      </c>
      <c r="O58" s="256" t="s">
        <v>46</v>
      </c>
      <c r="P58" s="561" t="s">
        <v>47</v>
      </c>
      <c r="Q58" s="564"/>
      <c r="R58" s="561" t="s">
        <v>38</v>
      </c>
      <c r="S58" s="562"/>
      <c r="T58" s="562"/>
      <c r="U58" s="564"/>
      <c r="V58" s="561" t="s">
        <v>48</v>
      </c>
      <c r="W58" s="562"/>
      <c r="X58" s="562"/>
      <c r="Y58" s="562"/>
      <c r="Z58" s="562"/>
      <c r="AA58" s="562"/>
      <c r="AB58" s="562"/>
      <c r="AC58" s="562"/>
      <c r="AD58" s="563"/>
    </row>
    <row r="59" spans="1:32" ht="27" customHeight="1">
      <c r="A59" s="543" t="s">
        <v>116</v>
      </c>
      <c r="B59" s="533"/>
      <c r="C59" s="252" t="s">
        <v>307</v>
      </c>
      <c r="D59" s="252" t="s">
        <v>127</v>
      </c>
      <c r="E59" s="252" t="s">
        <v>348</v>
      </c>
      <c r="F59" s="530" t="s">
        <v>344</v>
      </c>
      <c r="G59" s="531"/>
      <c r="H59" s="531"/>
      <c r="I59" s="531"/>
      <c r="J59" s="531"/>
      <c r="K59" s="531"/>
      <c r="L59" s="531"/>
      <c r="M59" s="532"/>
      <c r="N59" s="255" t="s">
        <v>116</v>
      </c>
      <c r="O59" s="249" t="s">
        <v>210</v>
      </c>
      <c r="P59" s="544" t="s">
        <v>142</v>
      </c>
      <c r="Q59" s="545"/>
      <c r="R59" s="544" t="s">
        <v>360</v>
      </c>
      <c r="S59" s="546"/>
      <c r="T59" s="546"/>
      <c r="U59" s="545"/>
      <c r="V59" s="517" t="s">
        <v>124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116</v>
      </c>
      <c r="B60" s="533"/>
      <c r="C60" s="252" t="s">
        <v>287</v>
      </c>
      <c r="D60" s="252" t="s">
        <v>122</v>
      </c>
      <c r="E60" s="252" t="s">
        <v>349</v>
      </c>
      <c r="F60" s="530" t="s">
        <v>344</v>
      </c>
      <c r="G60" s="531"/>
      <c r="H60" s="531"/>
      <c r="I60" s="531"/>
      <c r="J60" s="531"/>
      <c r="K60" s="531"/>
      <c r="L60" s="531"/>
      <c r="M60" s="532"/>
      <c r="N60" s="255" t="s">
        <v>116</v>
      </c>
      <c r="O60" s="249" t="s">
        <v>201</v>
      </c>
      <c r="P60" s="544" t="s">
        <v>115</v>
      </c>
      <c r="Q60" s="545"/>
      <c r="R60" s="544" t="s">
        <v>361</v>
      </c>
      <c r="S60" s="546"/>
      <c r="T60" s="546"/>
      <c r="U60" s="545"/>
      <c r="V60" s="517" t="s">
        <v>124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112</v>
      </c>
      <c r="B61" s="533"/>
      <c r="C61" s="252" t="s">
        <v>210</v>
      </c>
      <c r="D61" s="252" t="s">
        <v>115</v>
      </c>
      <c r="E61" s="252" t="s">
        <v>260</v>
      </c>
      <c r="F61" s="530" t="s">
        <v>124</v>
      </c>
      <c r="G61" s="531"/>
      <c r="H61" s="531"/>
      <c r="I61" s="531"/>
      <c r="J61" s="531"/>
      <c r="K61" s="531"/>
      <c r="L61" s="531"/>
      <c r="M61" s="532"/>
      <c r="N61" s="255" t="s">
        <v>116</v>
      </c>
      <c r="O61" s="249" t="s">
        <v>307</v>
      </c>
      <c r="P61" s="544" t="s">
        <v>115</v>
      </c>
      <c r="Q61" s="545"/>
      <c r="R61" s="544" t="s">
        <v>362</v>
      </c>
      <c r="S61" s="546"/>
      <c r="T61" s="546"/>
      <c r="U61" s="545"/>
      <c r="V61" s="517" t="s">
        <v>124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/>
      <c r="B62" s="533"/>
      <c r="C62" s="252"/>
      <c r="D62" s="252"/>
      <c r="E62" s="252"/>
      <c r="F62" s="530"/>
      <c r="G62" s="531"/>
      <c r="H62" s="531"/>
      <c r="I62" s="531"/>
      <c r="J62" s="531"/>
      <c r="K62" s="531"/>
      <c r="L62" s="531"/>
      <c r="M62" s="532"/>
      <c r="N62" s="255" t="s">
        <v>112</v>
      </c>
      <c r="O62" s="249" t="s">
        <v>161</v>
      </c>
      <c r="P62" s="544" t="s">
        <v>115</v>
      </c>
      <c r="Q62" s="545"/>
      <c r="R62" s="544" t="s">
        <v>363</v>
      </c>
      <c r="S62" s="546"/>
      <c r="T62" s="546"/>
      <c r="U62" s="545"/>
      <c r="V62" s="517" t="s">
        <v>124</v>
      </c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/>
      <c r="B63" s="533"/>
      <c r="C63" s="252"/>
      <c r="D63" s="252"/>
      <c r="E63" s="252"/>
      <c r="F63" s="530"/>
      <c r="G63" s="531"/>
      <c r="H63" s="531"/>
      <c r="I63" s="531"/>
      <c r="J63" s="531"/>
      <c r="K63" s="531"/>
      <c r="L63" s="531"/>
      <c r="M63" s="532"/>
      <c r="N63" s="255" t="s">
        <v>112</v>
      </c>
      <c r="O63" s="249" t="s">
        <v>167</v>
      </c>
      <c r="P63" s="544" t="s">
        <v>137</v>
      </c>
      <c r="Q63" s="545"/>
      <c r="R63" s="544" t="s">
        <v>191</v>
      </c>
      <c r="S63" s="546"/>
      <c r="T63" s="546"/>
      <c r="U63" s="545"/>
      <c r="V63" s="517" t="s">
        <v>364</v>
      </c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252"/>
      <c r="D64" s="252"/>
      <c r="E64" s="252"/>
      <c r="F64" s="530"/>
      <c r="G64" s="531"/>
      <c r="H64" s="531"/>
      <c r="I64" s="531"/>
      <c r="J64" s="531"/>
      <c r="K64" s="531"/>
      <c r="L64" s="531"/>
      <c r="M64" s="532"/>
      <c r="N64" s="255"/>
      <c r="O64" s="249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43"/>
      <c r="B65" s="533"/>
      <c r="C65" s="252"/>
      <c r="D65" s="252"/>
      <c r="E65" s="252"/>
      <c r="F65" s="530"/>
      <c r="G65" s="531"/>
      <c r="H65" s="531"/>
      <c r="I65" s="531"/>
      <c r="J65" s="531"/>
      <c r="K65" s="531"/>
      <c r="L65" s="531"/>
      <c r="M65" s="532"/>
      <c r="N65" s="255"/>
      <c r="O65" s="249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251"/>
      <c r="D66" s="251"/>
      <c r="E66" s="252"/>
      <c r="F66" s="530"/>
      <c r="G66" s="531"/>
      <c r="H66" s="531"/>
      <c r="I66" s="531"/>
      <c r="J66" s="531"/>
      <c r="K66" s="531"/>
      <c r="L66" s="531"/>
      <c r="M66" s="532"/>
      <c r="N66" s="255"/>
      <c r="O66" s="249"/>
      <c r="P66" s="544"/>
      <c r="Q66" s="545"/>
      <c r="R66" s="544"/>
      <c r="S66" s="546"/>
      <c r="T66" s="546"/>
      <c r="U66" s="545"/>
      <c r="V66" s="517"/>
      <c r="W66" s="517"/>
      <c r="X66" s="517"/>
      <c r="Y66" s="517"/>
      <c r="Z66" s="517"/>
      <c r="AA66" s="517"/>
      <c r="AB66" s="517"/>
      <c r="AC66" s="517"/>
      <c r="AD66" s="534"/>
    </row>
    <row r="67" spans="1:32" ht="27" customHeight="1">
      <c r="A67" s="528"/>
      <c r="B67" s="529"/>
      <c r="C67" s="251"/>
      <c r="D67" s="251"/>
      <c r="E67" s="252"/>
      <c r="F67" s="530"/>
      <c r="G67" s="531"/>
      <c r="H67" s="531"/>
      <c r="I67" s="531"/>
      <c r="J67" s="531"/>
      <c r="K67" s="531"/>
      <c r="L67" s="531"/>
      <c r="M67" s="532"/>
      <c r="N67" s="255"/>
      <c r="O67" s="249"/>
      <c r="P67" s="533"/>
      <c r="Q67" s="533"/>
      <c r="R67" s="533"/>
      <c r="S67" s="533"/>
      <c r="T67" s="533"/>
      <c r="U67" s="533"/>
      <c r="V67" s="517"/>
      <c r="W67" s="517"/>
      <c r="X67" s="517"/>
      <c r="Y67" s="517"/>
      <c r="Z67" s="517"/>
      <c r="AA67" s="517"/>
      <c r="AB67" s="517"/>
      <c r="AC67" s="517"/>
      <c r="AD67" s="534"/>
      <c r="AF67" s="84">
        <f>8*3000</f>
        <v>24000</v>
      </c>
    </row>
    <row r="68" spans="1:32" ht="27" customHeight="1" thickBot="1">
      <c r="A68" s="535"/>
      <c r="B68" s="536"/>
      <c r="C68" s="253"/>
      <c r="D68" s="254"/>
      <c r="E68" s="253"/>
      <c r="F68" s="537"/>
      <c r="G68" s="538"/>
      <c r="H68" s="538"/>
      <c r="I68" s="538"/>
      <c r="J68" s="538"/>
      <c r="K68" s="538"/>
      <c r="L68" s="538"/>
      <c r="M68" s="539"/>
      <c r="N68" s="111"/>
      <c r="O68" s="103"/>
      <c r="P68" s="540"/>
      <c r="Q68" s="540"/>
      <c r="R68" s="540"/>
      <c r="S68" s="540"/>
      <c r="T68" s="540"/>
      <c r="U68" s="540"/>
      <c r="V68" s="541"/>
      <c r="W68" s="541"/>
      <c r="X68" s="541"/>
      <c r="Y68" s="541"/>
      <c r="Z68" s="541"/>
      <c r="AA68" s="541"/>
      <c r="AB68" s="541"/>
      <c r="AC68" s="541"/>
      <c r="AD68" s="542"/>
      <c r="AF68" s="84">
        <f>16*3000</f>
        <v>48000</v>
      </c>
    </row>
    <row r="69" spans="1:32" ht="27.75" thickBot="1">
      <c r="A69" s="526" t="s">
        <v>365</v>
      </c>
      <c r="B69" s="526"/>
      <c r="C69" s="526"/>
      <c r="D69" s="526"/>
      <c r="E69" s="526"/>
      <c r="F69" s="37"/>
      <c r="G69" s="37"/>
      <c r="H69" s="38"/>
      <c r="I69" s="38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F69" s="84">
        <v>24000</v>
      </c>
    </row>
    <row r="70" spans="1:32" ht="29.25" customHeight="1" thickBot="1">
      <c r="A70" s="527" t="s">
        <v>111</v>
      </c>
      <c r="B70" s="524"/>
      <c r="C70" s="250" t="s">
        <v>2</v>
      </c>
      <c r="D70" s="250" t="s">
        <v>37</v>
      </c>
      <c r="E70" s="250" t="s">
        <v>3</v>
      </c>
      <c r="F70" s="524" t="s">
        <v>109</v>
      </c>
      <c r="G70" s="524"/>
      <c r="H70" s="524"/>
      <c r="I70" s="524"/>
      <c r="J70" s="524"/>
      <c r="K70" s="524" t="s">
        <v>39</v>
      </c>
      <c r="L70" s="524"/>
      <c r="M70" s="250" t="s">
        <v>40</v>
      </c>
      <c r="N70" s="524" t="s">
        <v>41</v>
      </c>
      <c r="O70" s="524"/>
      <c r="P70" s="521" t="s">
        <v>42</v>
      </c>
      <c r="Q70" s="523"/>
      <c r="R70" s="521" t="s">
        <v>43</v>
      </c>
      <c r="S70" s="522"/>
      <c r="T70" s="522"/>
      <c r="U70" s="522"/>
      <c r="V70" s="522"/>
      <c r="W70" s="522"/>
      <c r="X70" s="522"/>
      <c r="Y70" s="522"/>
      <c r="Z70" s="522"/>
      <c r="AA70" s="523"/>
      <c r="AB70" s="524" t="s">
        <v>44</v>
      </c>
      <c r="AC70" s="524"/>
      <c r="AD70" s="525"/>
      <c r="AF70" s="84">
        <f>SUM(AF67:AF69)</f>
        <v>96000</v>
      </c>
    </row>
    <row r="71" spans="1:32" ht="25.5" customHeight="1">
      <c r="A71" s="512">
        <v>1</v>
      </c>
      <c r="B71" s="513"/>
      <c r="C71" s="104" t="s">
        <v>116</v>
      </c>
      <c r="D71" s="245"/>
      <c r="E71" s="248" t="s">
        <v>127</v>
      </c>
      <c r="F71" s="518" t="s">
        <v>348</v>
      </c>
      <c r="G71" s="519"/>
      <c r="H71" s="519"/>
      <c r="I71" s="519"/>
      <c r="J71" s="520"/>
      <c r="K71" s="504" t="s">
        <v>366</v>
      </c>
      <c r="L71" s="504"/>
      <c r="M71" s="51" t="s">
        <v>216</v>
      </c>
      <c r="N71" s="515" t="s">
        <v>307</v>
      </c>
      <c r="O71" s="515"/>
      <c r="P71" s="516">
        <v>50</v>
      </c>
      <c r="Q71" s="516"/>
      <c r="R71" s="517" t="s">
        <v>367</v>
      </c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2</v>
      </c>
      <c r="B72" s="513"/>
      <c r="C72" s="104" t="s">
        <v>112</v>
      </c>
      <c r="D72" s="245"/>
      <c r="E72" s="248" t="s">
        <v>115</v>
      </c>
      <c r="F72" s="518" t="s">
        <v>276</v>
      </c>
      <c r="G72" s="519"/>
      <c r="H72" s="519"/>
      <c r="I72" s="519"/>
      <c r="J72" s="520"/>
      <c r="K72" s="504" t="s">
        <v>128</v>
      </c>
      <c r="L72" s="504"/>
      <c r="M72" s="51" t="s">
        <v>334</v>
      </c>
      <c r="N72" s="515" t="s">
        <v>210</v>
      </c>
      <c r="O72" s="515"/>
      <c r="P72" s="516"/>
      <c r="Q72" s="516"/>
      <c r="R72" s="517" t="s">
        <v>368</v>
      </c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3</v>
      </c>
      <c r="B73" s="513"/>
      <c r="C73" s="104" t="s">
        <v>116</v>
      </c>
      <c r="D73" s="245"/>
      <c r="E73" s="248" t="s">
        <v>122</v>
      </c>
      <c r="F73" s="518" t="s">
        <v>349</v>
      </c>
      <c r="G73" s="519"/>
      <c r="H73" s="519"/>
      <c r="I73" s="519"/>
      <c r="J73" s="520"/>
      <c r="K73" s="504" t="s">
        <v>206</v>
      </c>
      <c r="L73" s="504"/>
      <c r="M73" s="51" t="s">
        <v>216</v>
      </c>
      <c r="N73" s="515" t="s">
        <v>287</v>
      </c>
      <c r="O73" s="515"/>
      <c r="P73" s="516">
        <v>200</v>
      </c>
      <c r="Q73" s="516"/>
      <c r="R73" s="517" t="s">
        <v>369</v>
      </c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4</v>
      </c>
      <c r="B74" s="513"/>
      <c r="C74" s="104"/>
      <c r="D74" s="245"/>
      <c r="E74" s="248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5</v>
      </c>
      <c r="B75" s="513"/>
      <c r="C75" s="104"/>
      <c r="D75" s="245"/>
      <c r="E75" s="248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6</v>
      </c>
      <c r="B76" s="513"/>
      <c r="C76" s="104"/>
      <c r="D76" s="245"/>
      <c r="E76" s="248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7</v>
      </c>
      <c r="B77" s="513"/>
      <c r="C77" s="104"/>
      <c r="D77" s="245"/>
      <c r="E77" s="248"/>
      <c r="F77" s="518"/>
      <c r="G77" s="519"/>
      <c r="H77" s="519"/>
      <c r="I77" s="519"/>
      <c r="J77" s="520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8</v>
      </c>
      <c r="B78" s="513"/>
      <c r="C78" s="104"/>
      <c r="D78" s="245"/>
      <c r="E78" s="248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9</v>
      </c>
      <c r="B79" s="513"/>
      <c r="C79" s="104"/>
      <c r="D79" s="245"/>
      <c r="E79" s="248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5.5" customHeight="1">
      <c r="A80" s="512">
        <v>10</v>
      </c>
      <c r="B80" s="513"/>
      <c r="C80" s="104"/>
      <c r="D80" s="245"/>
      <c r="E80" s="248"/>
      <c r="F80" s="514"/>
      <c r="G80" s="504"/>
      <c r="H80" s="504"/>
      <c r="I80" s="504"/>
      <c r="J80" s="504"/>
      <c r="K80" s="504"/>
      <c r="L80" s="504"/>
      <c r="M80" s="51"/>
      <c r="N80" s="515"/>
      <c r="O80" s="515"/>
      <c r="P80" s="516"/>
      <c r="Q80" s="516"/>
      <c r="R80" s="517"/>
      <c r="S80" s="517"/>
      <c r="T80" s="517"/>
      <c r="U80" s="517"/>
      <c r="V80" s="517"/>
      <c r="W80" s="517"/>
      <c r="X80" s="517"/>
      <c r="Y80" s="517"/>
      <c r="Z80" s="517"/>
      <c r="AA80" s="517"/>
      <c r="AB80" s="504"/>
      <c r="AC80" s="504"/>
      <c r="AD80" s="505"/>
      <c r="AF80" s="50"/>
    </row>
    <row r="81" spans="1:32" ht="26.25" customHeight="1" thickBot="1">
      <c r="A81" s="484" t="s">
        <v>370</v>
      </c>
      <c r="B81" s="484"/>
      <c r="C81" s="484"/>
      <c r="D81" s="484"/>
      <c r="E81" s="484"/>
      <c r="F81" s="37"/>
      <c r="G81" s="37"/>
      <c r="H81" s="38"/>
      <c r="I81" s="38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F81" s="50"/>
    </row>
    <row r="82" spans="1:32" ht="23.25" thickBot="1">
      <c r="A82" s="506" t="s">
        <v>111</v>
      </c>
      <c r="B82" s="507"/>
      <c r="C82" s="247" t="s">
        <v>2</v>
      </c>
      <c r="D82" s="247" t="s">
        <v>37</v>
      </c>
      <c r="E82" s="247" t="s">
        <v>121</v>
      </c>
      <c r="F82" s="486" t="s">
        <v>38</v>
      </c>
      <c r="G82" s="486"/>
      <c r="H82" s="486"/>
      <c r="I82" s="486"/>
      <c r="J82" s="486"/>
      <c r="K82" s="508" t="s">
        <v>58</v>
      </c>
      <c r="L82" s="509"/>
      <c r="M82" s="509"/>
      <c r="N82" s="509"/>
      <c r="O82" s="509"/>
      <c r="P82" s="509"/>
      <c r="Q82" s="509"/>
      <c r="R82" s="509"/>
      <c r="S82" s="510"/>
      <c r="T82" s="486" t="s">
        <v>49</v>
      </c>
      <c r="U82" s="486"/>
      <c r="V82" s="508" t="s">
        <v>50</v>
      </c>
      <c r="W82" s="510"/>
      <c r="X82" s="509" t="s">
        <v>51</v>
      </c>
      <c r="Y82" s="509"/>
      <c r="Z82" s="509"/>
      <c r="AA82" s="509"/>
      <c r="AB82" s="509"/>
      <c r="AC82" s="509"/>
      <c r="AD82" s="511"/>
      <c r="AF82" s="50"/>
    </row>
    <row r="83" spans="1:32" ht="33.75" customHeight="1">
      <c r="A83" s="478">
        <v>1</v>
      </c>
      <c r="B83" s="479"/>
      <c r="C83" s="246"/>
      <c r="D83" s="246"/>
      <c r="E83" s="65"/>
      <c r="F83" s="493"/>
      <c r="G83" s="494"/>
      <c r="H83" s="494"/>
      <c r="I83" s="494"/>
      <c r="J83" s="495"/>
      <c r="K83" s="496"/>
      <c r="L83" s="497"/>
      <c r="M83" s="497"/>
      <c r="N83" s="497"/>
      <c r="O83" s="497"/>
      <c r="P83" s="497"/>
      <c r="Q83" s="497"/>
      <c r="R83" s="497"/>
      <c r="S83" s="498"/>
      <c r="T83" s="499"/>
      <c r="U83" s="500"/>
      <c r="V83" s="501"/>
      <c r="W83" s="501"/>
      <c r="X83" s="502"/>
      <c r="Y83" s="502"/>
      <c r="Z83" s="502"/>
      <c r="AA83" s="502"/>
      <c r="AB83" s="502"/>
      <c r="AC83" s="502"/>
      <c r="AD83" s="503"/>
      <c r="AF83" s="50"/>
    </row>
    <row r="84" spans="1:32" ht="30" customHeight="1">
      <c r="A84" s="471">
        <f>A83+1</f>
        <v>2</v>
      </c>
      <c r="B84" s="472"/>
      <c r="C84" s="245"/>
      <c r="D84" s="245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ref="A85:A89" si="19">A84+1</f>
        <v>3</v>
      </c>
      <c r="B85" s="472"/>
      <c r="C85" s="245"/>
      <c r="D85" s="245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9"/>
        <v>4</v>
      </c>
      <c r="B86" s="472"/>
      <c r="C86" s="245"/>
      <c r="D86" s="245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9"/>
        <v>5</v>
      </c>
      <c r="B87" s="472"/>
      <c r="C87" s="245"/>
      <c r="D87" s="245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9"/>
        <v>6</v>
      </c>
      <c r="B88" s="472"/>
      <c r="C88" s="245"/>
      <c r="D88" s="245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0" customHeight="1">
      <c r="A89" s="471">
        <f t="shared" si="19"/>
        <v>7</v>
      </c>
      <c r="B89" s="472"/>
      <c r="C89" s="245"/>
      <c r="D89" s="245"/>
      <c r="E89" s="32"/>
      <c r="F89" s="472"/>
      <c r="G89" s="472"/>
      <c r="H89" s="472"/>
      <c r="I89" s="472"/>
      <c r="J89" s="472"/>
      <c r="K89" s="487"/>
      <c r="L89" s="488"/>
      <c r="M89" s="488"/>
      <c r="N89" s="488"/>
      <c r="O89" s="488"/>
      <c r="P89" s="488"/>
      <c r="Q89" s="488"/>
      <c r="R89" s="488"/>
      <c r="S89" s="489"/>
      <c r="T89" s="490"/>
      <c r="U89" s="490"/>
      <c r="V89" s="490"/>
      <c r="W89" s="490"/>
      <c r="X89" s="491"/>
      <c r="Y89" s="491"/>
      <c r="Z89" s="491"/>
      <c r="AA89" s="491"/>
      <c r="AB89" s="491"/>
      <c r="AC89" s="491"/>
      <c r="AD89" s="492"/>
      <c r="AF89" s="50"/>
    </row>
    <row r="90" spans="1:32" ht="36" thickBot="1">
      <c r="A90" s="484" t="s">
        <v>371</v>
      </c>
      <c r="B90" s="484"/>
      <c r="C90" s="484"/>
      <c r="D90" s="484"/>
      <c r="E90" s="484"/>
      <c r="F90" s="37"/>
      <c r="G90" s="37"/>
      <c r="H90" s="38"/>
      <c r="I90" s="38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F90" s="50"/>
    </row>
    <row r="91" spans="1:32" ht="30.75" customHeight="1" thickBot="1">
      <c r="A91" s="485" t="s">
        <v>111</v>
      </c>
      <c r="B91" s="486"/>
      <c r="C91" s="476" t="s">
        <v>52</v>
      </c>
      <c r="D91" s="476"/>
      <c r="E91" s="476" t="s">
        <v>53</v>
      </c>
      <c r="F91" s="476"/>
      <c r="G91" s="476"/>
      <c r="H91" s="476"/>
      <c r="I91" s="476"/>
      <c r="J91" s="476"/>
      <c r="K91" s="476" t="s">
        <v>54</v>
      </c>
      <c r="L91" s="476"/>
      <c r="M91" s="476"/>
      <c r="N91" s="476"/>
      <c r="O91" s="476"/>
      <c r="P91" s="476"/>
      <c r="Q91" s="476"/>
      <c r="R91" s="476"/>
      <c r="S91" s="476"/>
      <c r="T91" s="476" t="s">
        <v>55</v>
      </c>
      <c r="U91" s="476"/>
      <c r="V91" s="476" t="s">
        <v>56</v>
      </c>
      <c r="W91" s="476"/>
      <c r="X91" s="476"/>
      <c r="Y91" s="476" t="s">
        <v>51</v>
      </c>
      <c r="Z91" s="476"/>
      <c r="AA91" s="476"/>
      <c r="AB91" s="476"/>
      <c r="AC91" s="476"/>
      <c r="AD91" s="477"/>
      <c r="AF91" s="50"/>
    </row>
    <row r="92" spans="1:32" ht="30.75" customHeight="1">
      <c r="A92" s="478">
        <v>1</v>
      </c>
      <c r="B92" s="479"/>
      <c r="C92" s="480">
        <v>9</v>
      </c>
      <c r="D92" s="480"/>
      <c r="E92" s="480" t="s">
        <v>125</v>
      </c>
      <c r="F92" s="480"/>
      <c r="G92" s="480"/>
      <c r="H92" s="480"/>
      <c r="I92" s="480"/>
      <c r="J92" s="480"/>
      <c r="K92" s="480" t="s">
        <v>132</v>
      </c>
      <c r="L92" s="480"/>
      <c r="M92" s="480"/>
      <c r="N92" s="480"/>
      <c r="O92" s="480"/>
      <c r="P92" s="480"/>
      <c r="Q92" s="480"/>
      <c r="R92" s="480"/>
      <c r="S92" s="480"/>
      <c r="T92" s="480" t="s">
        <v>126</v>
      </c>
      <c r="U92" s="480"/>
      <c r="V92" s="481" t="s">
        <v>129</v>
      </c>
      <c r="W92" s="481"/>
      <c r="X92" s="481"/>
      <c r="Y92" s="482"/>
      <c r="Z92" s="482"/>
      <c r="AA92" s="482"/>
      <c r="AB92" s="482"/>
      <c r="AC92" s="482"/>
      <c r="AD92" s="483"/>
      <c r="AF92" s="50"/>
    </row>
    <row r="93" spans="1:32" ht="30.75" customHeight="1">
      <c r="A93" s="471">
        <v>2</v>
      </c>
      <c r="B93" s="472"/>
      <c r="C93" s="473"/>
      <c r="D93" s="473"/>
      <c r="E93" s="473"/>
      <c r="F93" s="473"/>
      <c r="G93" s="473"/>
      <c r="H93" s="473"/>
      <c r="I93" s="473"/>
      <c r="J93" s="473"/>
      <c r="K93" s="473"/>
      <c r="L93" s="473"/>
      <c r="M93" s="473"/>
      <c r="N93" s="473"/>
      <c r="O93" s="473"/>
      <c r="P93" s="473"/>
      <c r="Q93" s="473"/>
      <c r="R93" s="473"/>
      <c r="S93" s="473"/>
      <c r="T93" s="474"/>
      <c r="U93" s="474"/>
      <c r="V93" s="475"/>
      <c r="W93" s="475"/>
      <c r="X93" s="475"/>
      <c r="Y93" s="463"/>
      <c r="Z93" s="463"/>
      <c r="AA93" s="463"/>
      <c r="AB93" s="463"/>
      <c r="AC93" s="463"/>
      <c r="AD93" s="464"/>
      <c r="AF93" s="50"/>
    </row>
    <row r="94" spans="1:32" ht="30.75" customHeight="1" thickBot="1">
      <c r="A94" s="465">
        <v>3</v>
      </c>
      <c r="B94" s="466"/>
      <c r="C94" s="467"/>
      <c r="D94" s="467"/>
      <c r="E94" s="467"/>
      <c r="F94" s="467"/>
      <c r="G94" s="467"/>
      <c r="H94" s="467"/>
      <c r="I94" s="467"/>
      <c r="J94" s="467"/>
      <c r="K94" s="467"/>
      <c r="L94" s="467"/>
      <c r="M94" s="467"/>
      <c r="N94" s="467"/>
      <c r="O94" s="467"/>
      <c r="P94" s="467"/>
      <c r="Q94" s="467"/>
      <c r="R94" s="467"/>
      <c r="S94" s="467"/>
      <c r="T94" s="467"/>
      <c r="U94" s="467"/>
      <c r="V94" s="468"/>
      <c r="W94" s="468"/>
      <c r="X94" s="468"/>
      <c r="Y94" s="469"/>
      <c r="Z94" s="469"/>
      <c r="AA94" s="469"/>
      <c r="AB94" s="469"/>
      <c r="AC94" s="469"/>
      <c r="AD94" s="470"/>
      <c r="AF94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9:H29"/>
    <mergeCell ref="A56:E56"/>
    <mergeCell ref="A57:M57"/>
    <mergeCell ref="N57:AD57"/>
    <mergeCell ref="A58:B58"/>
    <mergeCell ref="F58:M58"/>
    <mergeCell ref="P58:Q58"/>
    <mergeCell ref="R58:U58"/>
    <mergeCell ref="V58:AD58"/>
    <mergeCell ref="I4:O4"/>
    <mergeCell ref="P4:Q4"/>
    <mergeCell ref="R4:V4"/>
    <mergeCell ref="W4:AA4"/>
    <mergeCell ref="AB4:AB5"/>
    <mergeCell ref="AC4:AC5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9:E69"/>
    <mergeCell ref="A70:B70"/>
    <mergeCell ref="F70:J70"/>
    <mergeCell ref="K70:L70"/>
    <mergeCell ref="N70:O70"/>
    <mergeCell ref="P70:Q70"/>
    <mergeCell ref="A67:B67"/>
    <mergeCell ref="F67:M67"/>
    <mergeCell ref="P67:Q67"/>
    <mergeCell ref="R70:AA70"/>
    <mergeCell ref="AB70:AD70"/>
    <mergeCell ref="A71:B71"/>
    <mergeCell ref="F71:J71"/>
    <mergeCell ref="K71:L71"/>
    <mergeCell ref="N71:O71"/>
    <mergeCell ref="P71:Q71"/>
    <mergeCell ref="R71:AA71"/>
    <mergeCell ref="AB71:AD71"/>
    <mergeCell ref="AB72:AD72"/>
    <mergeCell ref="A73:B73"/>
    <mergeCell ref="F73:J73"/>
    <mergeCell ref="K73:L73"/>
    <mergeCell ref="N73:O73"/>
    <mergeCell ref="P73:Q73"/>
    <mergeCell ref="R73:AA73"/>
    <mergeCell ref="AB73:AD73"/>
    <mergeCell ref="A72:B72"/>
    <mergeCell ref="F72:J72"/>
    <mergeCell ref="K72:L72"/>
    <mergeCell ref="N72:O72"/>
    <mergeCell ref="P72:Q72"/>
    <mergeCell ref="R72:AA72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E81"/>
    <mergeCell ref="A82:B82"/>
    <mergeCell ref="F82:J82"/>
    <mergeCell ref="K82:S82"/>
    <mergeCell ref="T82:U82"/>
    <mergeCell ref="V82:W82"/>
    <mergeCell ref="X82:AD82"/>
    <mergeCell ref="A80:B80"/>
    <mergeCell ref="F80:J80"/>
    <mergeCell ref="K80:L80"/>
    <mergeCell ref="N80:O80"/>
    <mergeCell ref="P80:Q80"/>
    <mergeCell ref="R80:AA80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90:E90"/>
    <mergeCell ref="A91:B91"/>
    <mergeCell ref="C91:D91"/>
    <mergeCell ref="E91:J91"/>
    <mergeCell ref="K91:S91"/>
    <mergeCell ref="T91:U91"/>
    <mergeCell ref="A89:B89"/>
    <mergeCell ref="F89:J89"/>
    <mergeCell ref="K89:S89"/>
    <mergeCell ref="T89:U89"/>
    <mergeCell ref="V91:X91"/>
    <mergeCell ref="Y91:AD91"/>
    <mergeCell ref="A92:B92"/>
    <mergeCell ref="C92:D92"/>
    <mergeCell ref="E92:J92"/>
    <mergeCell ref="K92:S92"/>
    <mergeCell ref="T92:U92"/>
    <mergeCell ref="V92:X92"/>
    <mergeCell ref="Y92:AD92"/>
    <mergeCell ref="Y93:AD93"/>
    <mergeCell ref="A94:B94"/>
    <mergeCell ref="C94:D94"/>
    <mergeCell ref="E94:J94"/>
    <mergeCell ref="K94:S94"/>
    <mergeCell ref="T94:U94"/>
    <mergeCell ref="V94:X94"/>
    <mergeCell ref="Y94:AD94"/>
    <mergeCell ref="A93:B93"/>
    <mergeCell ref="C93:D93"/>
    <mergeCell ref="E93:J93"/>
    <mergeCell ref="K93:S93"/>
    <mergeCell ref="T93:U93"/>
    <mergeCell ref="V93:X93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4" max="2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15E7-7CF5-4B7C-9CC9-358F25626708}">
  <sheetPr>
    <pageSetUpPr fitToPage="1"/>
  </sheetPr>
  <dimension ref="A1:AF95"/>
  <sheetViews>
    <sheetView view="pageBreakPreview" zoomScale="70" zoomScaleNormal="72" zoomScaleSheetLayoutView="70" workbookViewId="0">
      <selection activeCell="F66" sqref="F66:M66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372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258" t="s">
        <v>17</v>
      </c>
      <c r="L5" s="258" t="s">
        <v>18</v>
      </c>
      <c r="M5" s="258" t="s">
        <v>19</v>
      </c>
      <c r="N5" s="25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116</v>
      </c>
      <c r="D6" s="52" t="s">
        <v>115</v>
      </c>
      <c r="E6" s="53" t="s">
        <v>373</v>
      </c>
      <c r="F6" s="30" t="s">
        <v>131</v>
      </c>
      <c r="G6" s="12">
        <v>4</v>
      </c>
      <c r="H6" s="13">
        <v>24</v>
      </c>
      <c r="I6" s="31">
        <v>16000</v>
      </c>
      <c r="J6" s="14">
        <v>13596</v>
      </c>
      <c r="K6" s="15">
        <f>L6</f>
        <v>13596</v>
      </c>
      <c r="L6" s="15">
        <f>2794*4+605*4</f>
        <v>13596</v>
      </c>
      <c r="M6" s="15">
        <f t="shared" ref="M6:M29" si="0">L6-N6</f>
        <v>13596</v>
      </c>
      <c r="N6" s="15">
        <v>0</v>
      </c>
      <c r="O6" s="58">
        <f t="shared" ref="O6:O30" si="1">IF(L6=0,"0",N6/L6)</f>
        <v>0</v>
      </c>
      <c r="P6" s="39">
        <f t="shared" ref="P6:P29" si="2">IF(L6=0,"0",(24-Q6))</f>
        <v>16</v>
      </c>
      <c r="Q6" s="40">
        <f t="shared" ref="Q6:Q29" si="3">SUM(R6:AA6)</f>
        <v>8</v>
      </c>
      <c r="R6" s="7"/>
      <c r="S6" s="6"/>
      <c r="T6" s="16">
        <v>8</v>
      </c>
      <c r="U6" s="16"/>
      <c r="V6" s="17"/>
      <c r="W6" s="5"/>
      <c r="X6" s="16"/>
      <c r="Y6" s="16"/>
      <c r="Z6" s="16"/>
      <c r="AA6" s="18"/>
      <c r="AB6" s="8">
        <f t="shared" ref="AB6:AB29" si="4">IF(J6=0,"0",(L6/J6))</f>
        <v>1</v>
      </c>
      <c r="AC6" s="9">
        <f t="shared" ref="AC6:AC29" si="5">IF(P6=0,"0",(P6/24))</f>
        <v>0.66666666666666663</v>
      </c>
      <c r="AD6" s="10">
        <f t="shared" ref="AD6:AD29" si="6">AC6*AB6*(1-O6)</f>
        <v>0.66666666666666663</v>
      </c>
      <c r="AE6" s="36">
        <f t="shared" ref="AE6:AE29" si="7">$AD$30</f>
        <v>0.45312500000000006</v>
      </c>
      <c r="AF6" s="84">
        <f t="shared" ref="AF6:AF29" si="8">A6</f>
        <v>1</v>
      </c>
    </row>
    <row r="7" spans="1:32" ht="27" customHeight="1">
      <c r="A7" s="112">
        <v>1</v>
      </c>
      <c r="B7" s="11" t="s">
        <v>57</v>
      </c>
      <c r="C7" s="34" t="s">
        <v>116</v>
      </c>
      <c r="D7" s="52" t="s">
        <v>127</v>
      </c>
      <c r="E7" s="53" t="s">
        <v>348</v>
      </c>
      <c r="F7" s="30" t="s">
        <v>357</v>
      </c>
      <c r="G7" s="12">
        <v>1</v>
      </c>
      <c r="H7" s="13">
        <v>24</v>
      </c>
      <c r="I7" s="31">
        <v>4600</v>
      </c>
      <c r="J7" s="14">
        <v>1941</v>
      </c>
      <c r="K7" s="15">
        <f>L7+3330</f>
        <v>5271</v>
      </c>
      <c r="L7" s="15">
        <v>1941</v>
      </c>
      <c r="M7" s="15">
        <f t="shared" si="0"/>
        <v>1941</v>
      </c>
      <c r="N7" s="15">
        <v>0</v>
      </c>
      <c r="O7" s="58">
        <f t="shared" si="1"/>
        <v>0</v>
      </c>
      <c r="P7" s="39">
        <f t="shared" si="2"/>
        <v>6</v>
      </c>
      <c r="Q7" s="40">
        <f t="shared" si="3"/>
        <v>18</v>
      </c>
      <c r="R7" s="7"/>
      <c r="S7" s="6"/>
      <c r="T7" s="16"/>
      <c r="U7" s="16"/>
      <c r="V7" s="17"/>
      <c r="W7" s="5">
        <v>18</v>
      </c>
      <c r="X7" s="16"/>
      <c r="Y7" s="16"/>
      <c r="Z7" s="16"/>
      <c r="AA7" s="18"/>
      <c r="AB7" s="8">
        <f t="shared" si="4"/>
        <v>1</v>
      </c>
      <c r="AC7" s="9">
        <f t="shared" si="5"/>
        <v>0.25</v>
      </c>
      <c r="AD7" s="10">
        <f t="shared" si="6"/>
        <v>0.25</v>
      </c>
      <c r="AE7" s="36">
        <f t="shared" si="7"/>
        <v>0.45312500000000006</v>
      </c>
      <c r="AF7" s="84">
        <f t="shared" si="8"/>
        <v>1</v>
      </c>
    </row>
    <row r="8" spans="1:32" ht="27" customHeight="1">
      <c r="A8" s="112">
        <v>2</v>
      </c>
      <c r="B8" s="11" t="s">
        <v>57</v>
      </c>
      <c r="C8" s="34" t="s">
        <v>138</v>
      </c>
      <c r="D8" s="52" t="s">
        <v>142</v>
      </c>
      <c r="E8" s="53" t="s">
        <v>339</v>
      </c>
      <c r="F8" s="30" t="s">
        <v>252</v>
      </c>
      <c r="G8" s="12">
        <v>2</v>
      </c>
      <c r="H8" s="13">
        <v>24</v>
      </c>
      <c r="I8" s="31">
        <v>20000</v>
      </c>
      <c r="J8" s="14">
        <v>12724</v>
      </c>
      <c r="K8" s="15">
        <f>L8+5400+12512</f>
        <v>30636</v>
      </c>
      <c r="L8" s="15">
        <f>3127*2+3235*2</f>
        <v>12724</v>
      </c>
      <c r="M8" s="15">
        <f t="shared" si="0"/>
        <v>12724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0.45312500000000006</v>
      </c>
      <c r="AF8" s="84">
        <f t="shared" si="8"/>
        <v>2</v>
      </c>
    </row>
    <row r="9" spans="1:32" ht="27" customHeight="1">
      <c r="A9" s="112">
        <v>3</v>
      </c>
      <c r="B9" s="11" t="s">
        <v>57</v>
      </c>
      <c r="C9" s="34" t="s">
        <v>138</v>
      </c>
      <c r="D9" s="52" t="s">
        <v>115</v>
      </c>
      <c r="E9" s="53" t="s">
        <v>253</v>
      </c>
      <c r="F9" s="30" t="s">
        <v>139</v>
      </c>
      <c r="G9" s="12">
        <v>2</v>
      </c>
      <c r="H9" s="13">
        <v>24</v>
      </c>
      <c r="I9" s="7">
        <v>160000</v>
      </c>
      <c r="J9" s="14">
        <v>11818</v>
      </c>
      <c r="K9" s="15">
        <f>L9+8132+2262+5886+10522+11854+11762+11766</f>
        <v>74002</v>
      </c>
      <c r="L9" s="15">
        <f>2969*2+2940*2</f>
        <v>11818</v>
      </c>
      <c r="M9" s="15">
        <f t="shared" si="0"/>
        <v>11818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0.45312500000000006</v>
      </c>
      <c r="AF9" s="84">
        <f t="shared" si="8"/>
        <v>3</v>
      </c>
    </row>
    <row r="10" spans="1:32" ht="27" customHeight="1">
      <c r="A10" s="96">
        <v>4</v>
      </c>
      <c r="B10" s="11" t="s">
        <v>57</v>
      </c>
      <c r="C10" s="34" t="s">
        <v>138</v>
      </c>
      <c r="D10" s="52" t="s">
        <v>123</v>
      </c>
      <c r="E10" s="53" t="s">
        <v>305</v>
      </c>
      <c r="F10" s="30" t="s">
        <v>139</v>
      </c>
      <c r="G10" s="12">
        <v>2</v>
      </c>
      <c r="H10" s="13">
        <v>24</v>
      </c>
      <c r="I10" s="7">
        <v>160000</v>
      </c>
      <c r="J10" s="14">
        <v>10814</v>
      </c>
      <c r="K10" s="15">
        <f>L10+10280+10788+10818</f>
        <v>42700</v>
      </c>
      <c r="L10" s="15">
        <f>2720*2+2687*2</f>
        <v>10814</v>
      </c>
      <c r="M10" s="15">
        <f t="shared" si="0"/>
        <v>10814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6"/>
        <v>1</v>
      </c>
      <c r="AE10" s="36">
        <f t="shared" si="7"/>
        <v>0.45312500000000006</v>
      </c>
      <c r="AF10" s="84">
        <f t="shared" si="8"/>
        <v>4</v>
      </c>
    </row>
    <row r="11" spans="1:32" ht="27" customHeight="1">
      <c r="A11" s="96">
        <v>5</v>
      </c>
      <c r="B11" s="11" t="s">
        <v>57</v>
      </c>
      <c r="C11" s="11" t="s">
        <v>163</v>
      </c>
      <c r="D11" s="52"/>
      <c r="E11" s="53" t="s">
        <v>204</v>
      </c>
      <c r="F11" s="30" t="s">
        <v>205</v>
      </c>
      <c r="G11" s="33">
        <v>2</v>
      </c>
      <c r="H11" s="35">
        <v>24</v>
      </c>
      <c r="I11" s="7">
        <v>100000</v>
      </c>
      <c r="J11" s="14">
        <v>10206</v>
      </c>
      <c r="K11" s="15">
        <f>L11</f>
        <v>0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/>
      <c r="X11" s="16"/>
      <c r="Y11" s="16"/>
      <c r="Z11" s="16"/>
      <c r="AA11" s="18">
        <v>24</v>
      </c>
      <c r="AB11" s="8">
        <f t="shared" si="4"/>
        <v>0</v>
      </c>
      <c r="AC11" s="9">
        <f t="shared" si="5"/>
        <v>0</v>
      </c>
      <c r="AD11" s="10">
        <f t="shared" si="6"/>
        <v>0</v>
      </c>
      <c r="AE11" s="36">
        <f t="shared" si="7"/>
        <v>0.45312500000000006</v>
      </c>
      <c r="AF11" s="84">
        <f t="shared" si="8"/>
        <v>5</v>
      </c>
    </row>
    <row r="12" spans="1:32" ht="27" customHeight="1">
      <c r="A12" s="96">
        <v>6</v>
      </c>
      <c r="B12" s="11" t="s">
        <v>57</v>
      </c>
      <c r="C12" s="11" t="s">
        <v>116</v>
      </c>
      <c r="D12" s="52" t="s">
        <v>115</v>
      </c>
      <c r="E12" s="53" t="s">
        <v>361</v>
      </c>
      <c r="F12" s="30" t="s">
        <v>206</v>
      </c>
      <c r="G12" s="33">
        <v>2</v>
      </c>
      <c r="H12" s="35">
        <v>24</v>
      </c>
      <c r="I12" s="7">
        <v>10000</v>
      </c>
      <c r="J12" s="14">
        <v>3340</v>
      </c>
      <c r="K12" s="15">
        <f>L12</f>
        <v>3340</v>
      </c>
      <c r="L12" s="15">
        <f>1670*2</f>
        <v>3340</v>
      </c>
      <c r="M12" s="15">
        <f t="shared" si="0"/>
        <v>3340</v>
      </c>
      <c r="N12" s="15">
        <v>0</v>
      </c>
      <c r="O12" s="58">
        <f t="shared" si="1"/>
        <v>0</v>
      </c>
      <c r="P12" s="39">
        <f t="shared" si="2"/>
        <v>8</v>
      </c>
      <c r="Q12" s="40">
        <f t="shared" si="3"/>
        <v>16</v>
      </c>
      <c r="R12" s="7"/>
      <c r="S12" s="6">
        <v>16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0.33333333333333331</v>
      </c>
      <c r="AD12" s="10">
        <f t="shared" si="6"/>
        <v>0.33333333333333331</v>
      </c>
      <c r="AE12" s="36">
        <f t="shared" si="7"/>
        <v>0.45312500000000006</v>
      </c>
      <c r="AF12" s="84">
        <f t="shared" si="8"/>
        <v>6</v>
      </c>
    </row>
    <row r="13" spans="1:32" ht="27" customHeight="1">
      <c r="A13" s="96">
        <v>7</v>
      </c>
      <c r="B13" s="11" t="s">
        <v>57</v>
      </c>
      <c r="C13" s="34" t="s">
        <v>116</v>
      </c>
      <c r="D13" s="52" t="s">
        <v>122</v>
      </c>
      <c r="E13" s="53" t="s">
        <v>349</v>
      </c>
      <c r="F13" s="30" t="s">
        <v>206</v>
      </c>
      <c r="G13" s="12">
        <v>4</v>
      </c>
      <c r="H13" s="13">
        <v>22</v>
      </c>
      <c r="I13" s="31">
        <v>32000</v>
      </c>
      <c r="J13" s="5">
        <v>20760</v>
      </c>
      <c r="K13" s="15">
        <f>L13+8800</f>
        <v>29560</v>
      </c>
      <c r="L13" s="15">
        <f>2558*4+2632*4</f>
        <v>20760</v>
      </c>
      <c r="M13" s="15">
        <f t="shared" si="0"/>
        <v>20760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6"/>
        <v>1</v>
      </c>
      <c r="AE13" s="36">
        <f t="shared" si="7"/>
        <v>0.45312500000000006</v>
      </c>
      <c r="AF13" s="84">
        <f t="shared" si="8"/>
        <v>7</v>
      </c>
    </row>
    <row r="14" spans="1:32" ht="27" customHeight="1">
      <c r="A14" s="96">
        <v>8</v>
      </c>
      <c r="B14" s="11" t="s">
        <v>57</v>
      </c>
      <c r="C14" s="11" t="s">
        <v>112</v>
      </c>
      <c r="D14" s="52" t="s">
        <v>123</v>
      </c>
      <c r="E14" s="53" t="s">
        <v>179</v>
      </c>
      <c r="F14" s="30" t="s">
        <v>128</v>
      </c>
      <c r="G14" s="33">
        <v>2</v>
      </c>
      <c r="H14" s="35">
        <v>35</v>
      </c>
      <c r="I14" s="7">
        <v>190000</v>
      </c>
      <c r="J14" s="14">
        <v>12314</v>
      </c>
      <c r="K14" s="15">
        <f>L14+6644+12322+12086+12660+12576+12284</f>
        <v>80886</v>
      </c>
      <c r="L14" s="15">
        <f>3062*2+3095*2</f>
        <v>12314</v>
      </c>
      <c r="M14" s="15">
        <f t="shared" si="0"/>
        <v>12314</v>
      </c>
      <c r="N14" s="15">
        <v>0</v>
      </c>
      <c r="O14" s="58">
        <f t="shared" si="1"/>
        <v>0</v>
      </c>
      <c r="P14" s="39">
        <f t="shared" si="2"/>
        <v>24</v>
      </c>
      <c r="Q14" s="40">
        <f t="shared" si="3"/>
        <v>0</v>
      </c>
      <c r="R14" s="7"/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1</v>
      </c>
      <c r="AD14" s="10">
        <f t="shared" si="6"/>
        <v>1</v>
      </c>
      <c r="AE14" s="36">
        <f t="shared" si="7"/>
        <v>0.45312500000000006</v>
      </c>
      <c r="AF14" s="84">
        <f t="shared" si="8"/>
        <v>8</v>
      </c>
    </row>
    <row r="15" spans="1:32" ht="27" customHeight="1">
      <c r="A15" s="105">
        <v>9</v>
      </c>
      <c r="B15" s="11" t="s">
        <v>57</v>
      </c>
      <c r="C15" s="34" t="s">
        <v>112</v>
      </c>
      <c r="D15" s="52" t="s">
        <v>115</v>
      </c>
      <c r="E15" s="53" t="s">
        <v>181</v>
      </c>
      <c r="F15" s="30" t="s">
        <v>171</v>
      </c>
      <c r="G15" s="33">
        <v>1</v>
      </c>
      <c r="H15" s="35">
        <v>50</v>
      </c>
      <c r="I15" s="7">
        <v>500</v>
      </c>
      <c r="J15" s="5">
        <v>608</v>
      </c>
      <c r="K15" s="15">
        <f>L15+290+608</f>
        <v>898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0.45312500000000006</v>
      </c>
      <c r="AF15" s="84">
        <f t="shared" si="8"/>
        <v>9</v>
      </c>
    </row>
    <row r="16" spans="1:32" ht="27" customHeight="1">
      <c r="A16" s="95">
        <v>10</v>
      </c>
      <c r="B16" s="11" t="s">
        <v>57</v>
      </c>
      <c r="C16" s="34" t="s">
        <v>116</v>
      </c>
      <c r="D16" s="52" t="s">
        <v>122</v>
      </c>
      <c r="E16" s="53" t="s">
        <v>136</v>
      </c>
      <c r="F16" s="30" t="s">
        <v>131</v>
      </c>
      <c r="G16" s="12">
        <v>4</v>
      </c>
      <c r="H16" s="13">
        <v>24</v>
      </c>
      <c r="I16" s="31">
        <v>12000</v>
      </c>
      <c r="J16" s="14">
        <v>12356</v>
      </c>
      <c r="K16" s="15">
        <f>L16+12356</f>
        <v>12356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0.45312500000000006</v>
      </c>
      <c r="AF16" s="84">
        <f t="shared" si="8"/>
        <v>10</v>
      </c>
    </row>
    <row r="17" spans="1:32" ht="27" customHeight="1">
      <c r="A17" s="112">
        <v>11</v>
      </c>
      <c r="B17" s="11" t="s">
        <v>57</v>
      </c>
      <c r="C17" s="34" t="s">
        <v>116</v>
      </c>
      <c r="D17" s="52" t="s">
        <v>142</v>
      </c>
      <c r="E17" s="53" t="s">
        <v>360</v>
      </c>
      <c r="F17" s="30" t="s">
        <v>130</v>
      </c>
      <c r="G17" s="12">
        <v>2</v>
      </c>
      <c r="H17" s="13">
        <v>24</v>
      </c>
      <c r="I17" s="7">
        <v>12000</v>
      </c>
      <c r="J17" s="14">
        <v>8686</v>
      </c>
      <c r="K17" s="15">
        <f>L17</f>
        <v>8686</v>
      </c>
      <c r="L17" s="15">
        <f>1977*2+2366*2</f>
        <v>8686</v>
      </c>
      <c r="M17" s="15">
        <f t="shared" si="0"/>
        <v>8686</v>
      </c>
      <c r="N17" s="15">
        <v>0</v>
      </c>
      <c r="O17" s="58">
        <f t="shared" si="1"/>
        <v>0</v>
      </c>
      <c r="P17" s="39">
        <f t="shared" si="2"/>
        <v>19</v>
      </c>
      <c r="Q17" s="40">
        <f t="shared" si="3"/>
        <v>5</v>
      </c>
      <c r="R17" s="7"/>
      <c r="S17" s="6">
        <v>5</v>
      </c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0.79166666666666663</v>
      </c>
      <c r="AD17" s="10">
        <f t="shared" si="6"/>
        <v>0.79166666666666663</v>
      </c>
      <c r="AE17" s="36">
        <f t="shared" si="7"/>
        <v>0.45312500000000006</v>
      </c>
      <c r="AF17" s="84">
        <f t="shared" si="8"/>
        <v>11</v>
      </c>
    </row>
    <row r="18" spans="1:32" ht="27" customHeight="1">
      <c r="A18" s="95">
        <v>12</v>
      </c>
      <c r="B18" s="11" t="s">
        <v>57</v>
      </c>
      <c r="C18" s="34" t="s">
        <v>296</v>
      </c>
      <c r="D18" s="52"/>
      <c r="E18" s="53" t="s">
        <v>297</v>
      </c>
      <c r="F18" s="30" t="s">
        <v>298</v>
      </c>
      <c r="G18" s="12">
        <v>4</v>
      </c>
      <c r="H18" s="13">
        <v>24</v>
      </c>
      <c r="I18" s="7">
        <v>40000</v>
      </c>
      <c r="J18" s="14">
        <v>24556</v>
      </c>
      <c r="K18" s="15">
        <f>L18+16652+24516+23120+24488</f>
        <v>113332</v>
      </c>
      <c r="L18" s="15">
        <f>3087*4+3052*4</f>
        <v>24556</v>
      </c>
      <c r="M18" s="15">
        <f t="shared" si="0"/>
        <v>24556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6"/>
        <v>1</v>
      </c>
      <c r="AE18" s="36">
        <f t="shared" si="7"/>
        <v>0.45312500000000006</v>
      </c>
      <c r="AF18" s="84">
        <f t="shared" si="8"/>
        <v>12</v>
      </c>
    </row>
    <row r="19" spans="1:32" ht="27" customHeight="1">
      <c r="A19" s="96">
        <v>13</v>
      </c>
      <c r="B19" s="11" t="s">
        <v>57</v>
      </c>
      <c r="C19" s="11" t="s">
        <v>112</v>
      </c>
      <c r="D19" s="52" t="s">
        <v>137</v>
      </c>
      <c r="E19" s="53" t="s">
        <v>191</v>
      </c>
      <c r="F19" s="30" t="s">
        <v>130</v>
      </c>
      <c r="G19" s="33">
        <v>1</v>
      </c>
      <c r="H19" s="35">
        <v>24</v>
      </c>
      <c r="I19" s="7">
        <v>180000</v>
      </c>
      <c r="J19" s="14">
        <v>11300</v>
      </c>
      <c r="K19" s="15">
        <f>L19+9952+11100+11616+11336+11468+11654+10384+11002+11590+11484+11300</f>
        <v>122886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>
        <v>24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 t="shared" si="6"/>
        <v>0</v>
      </c>
      <c r="AE19" s="36">
        <f t="shared" si="7"/>
        <v>0.45312500000000006</v>
      </c>
      <c r="AF19" s="84">
        <f t="shared" si="8"/>
        <v>13</v>
      </c>
    </row>
    <row r="20" spans="1:32" ht="27" customHeight="1">
      <c r="A20" s="96">
        <v>14</v>
      </c>
      <c r="B20" s="11" t="s">
        <v>57</v>
      </c>
      <c r="C20" s="11" t="s">
        <v>138</v>
      </c>
      <c r="D20" s="52" t="s">
        <v>340</v>
      </c>
      <c r="E20" s="53" t="s">
        <v>341</v>
      </c>
      <c r="F20" s="30" t="s">
        <v>139</v>
      </c>
      <c r="G20" s="33">
        <v>2</v>
      </c>
      <c r="H20" s="35">
        <v>24</v>
      </c>
      <c r="I20" s="7">
        <v>20000</v>
      </c>
      <c r="J20" s="14">
        <v>2614</v>
      </c>
      <c r="K20" s="15">
        <f>L20+7978+11466</f>
        <v>22058</v>
      </c>
      <c r="L20" s="15">
        <f>1307*2</f>
        <v>2614</v>
      </c>
      <c r="M20" s="15">
        <f t="shared" si="0"/>
        <v>2614</v>
      </c>
      <c r="N20" s="15">
        <v>0</v>
      </c>
      <c r="O20" s="58">
        <f t="shared" si="1"/>
        <v>0</v>
      </c>
      <c r="P20" s="39">
        <f t="shared" si="2"/>
        <v>6</v>
      </c>
      <c r="Q20" s="40">
        <f t="shared" si="3"/>
        <v>18</v>
      </c>
      <c r="R20" s="7"/>
      <c r="S20" s="6"/>
      <c r="T20" s="16"/>
      <c r="U20" s="16"/>
      <c r="V20" s="17"/>
      <c r="W20" s="5">
        <v>18</v>
      </c>
      <c r="X20" s="16"/>
      <c r="Y20" s="16"/>
      <c r="Z20" s="16"/>
      <c r="AA20" s="18"/>
      <c r="AB20" s="8">
        <f t="shared" si="4"/>
        <v>1</v>
      </c>
      <c r="AC20" s="9">
        <f t="shared" si="5"/>
        <v>0.25</v>
      </c>
      <c r="AD20" s="10">
        <f t="shared" si="6"/>
        <v>0.25</v>
      </c>
      <c r="AE20" s="36">
        <f t="shared" si="7"/>
        <v>0.45312500000000006</v>
      </c>
      <c r="AF20" s="84">
        <f t="shared" si="8"/>
        <v>14</v>
      </c>
    </row>
    <row r="21" spans="1:32" ht="27" customHeight="1">
      <c r="A21" s="96">
        <v>14</v>
      </c>
      <c r="B21" s="11" t="s">
        <v>57</v>
      </c>
      <c r="C21" s="11" t="s">
        <v>112</v>
      </c>
      <c r="D21" s="52" t="s">
        <v>115</v>
      </c>
      <c r="E21" s="53" t="s">
        <v>363</v>
      </c>
      <c r="F21" s="30" t="s">
        <v>130</v>
      </c>
      <c r="G21" s="33">
        <v>1</v>
      </c>
      <c r="H21" s="35">
        <v>24</v>
      </c>
      <c r="I21" s="7">
        <v>200</v>
      </c>
      <c r="J21" s="14">
        <v>808</v>
      </c>
      <c r="K21" s="15">
        <f>L21</f>
        <v>808</v>
      </c>
      <c r="L21" s="15">
        <f>204+604</f>
        <v>808</v>
      </c>
      <c r="M21" s="15">
        <f t="shared" ref="M21" si="9">L21-N21</f>
        <v>808</v>
      </c>
      <c r="N21" s="15">
        <v>0</v>
      </c>
      <c r="O21" s="58">
        <f t="shared" ref="O21" si="10">IF(L21=0,"0",N21/L21)</f>
        <v>0</v>
      </c>
      <c r="P21" s="39">
        <f t="shared" ref="P21" si="11">IF(L21=0,"0",(24-Q21))</f>
        <v>16</v>
      </c>
      <c r="Q21" s="40">
        <f t="shared" ref="Q21" si="12">SUM(R21:AA21)</f>
        <v>8</v>
      </c>
      <c r="R21" s="7"/>
      <c r="S21" s="6"/>
      <c r="T21" s="16">
        <v>8</v>
      </c>
      <c r="U21" s="16"/>
      <c r="V21" s="17"/>
      <c r="W21" s="5"/>
      <c r="X21" s="16"/>
      <c r="Y21" s="16"/>
      <c r="Z21" s="16"/>
      <c r="AA21" s="18"/>
      <c r="AB21" s="8">
        <f t="shared" ref="AB21" si="13">IF(J21=0,"0",(L21/J21))</f>
        <v>1</v>
      </c>
      <c r="AC21" s="9">
        <f t="shared" ref="AC21" si="14">IF(P21=0,"0",(P21/24))</f>
        <v>0.66666666666666663</v>
      </c>
      <c r="AD21" s="10">
        <f t="shared" ref="AD21" si="15">AC21*AB21*(1-O21)</f>
        <v>0.66666666666666663</v>
      </c>
      <c r="AE21" s="36">
        <f t="shared" si="7"/>
        <v>0.45312500000000006</v>
      </c>
      <c r="AF21" s="84">
        <f t="shared" ref="AF21" si="16">A21</f>
        <v>14</v>
      </c>
    </row>
    <row r="22" spans="1:32" ht="27" customHeight="1">
      <c r="A22" s="112">
        <v>15</v>
      </c>
      <c r="B22" s="11" t="s">
        <v>57</v>
      </c>
      <c r="C22" s="34" t="s">
        <v>112</v>
      </c>
      <c r="D22" s="52" t="s">
        <v>115</v>
      </c>
      <c r="E22" s="53" t="s">
        <v>178</v>
      </c>
      <c r="F22" s="30" t="s">
        <v>206</v>
      </c>
      <c r="G22" s="12">
        <v>2</v>
      </c>
      <c r="H22" s="13">
        <v>24</v>
      </c>
      <c r="I22" s="7">
        <v>230000</v>
      </c>
      <c r="J22" s="14">
        <v>9992</v>
      </c>
      <c r="K22" s="15">
        <f>L22+7008+11154+9077+8768+10676+10588+2521+7242+10236+10216+10614+10620+10632+10760+10206+10892+10136+10692+10896</f>
        <v>192926</v>
      </c>
      <c r="L22" s="15">
        <f>2251*2+2745*2</f>
        <v>9992</v>
      </c>
      <c r="M22" s="15">
        <f t="shared" si="0"/>
        <v>9992</v>
      </c>
      <c r="N22" s="15">
        <v>0</v>
      </c>
      <c r="O22" s="58">
        <f t="shared" si="1"/>
        <v>0</v>
      </c>
      <c r="P22" s="39">
        <f t="shared" si="2"/>
        <v>23</v>
      </c>
      <c r="Q22" s="40">
        <f t="shared" si="3"/>
        <v>1</v>
      </c>
      <c r="R22" s="7"/>
      <c r="S22" s="6">
        <v>1</v>
      </c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0.95833333333333337</v>
      </c>
      <c r="AD22" s="10">
        <f t="shared" si="6"/>
        <v>0.95833333333333337</v>
      </c>
      <c r="AE22" s="36">
        <f t="shared" si="7"/>
        <v>0.45312500000000006</v>
      </c>
      <c r="AF22" s="84">
        <f t="shared" si="8"/>
        <v>15</v>
      </c>
    </row>
    <row r="23" spans="1:32" ht="26.25" customHeight="1">
      <c r="A23" s="96">
        <v>16</v>
      </c>
      <c r="B23" s="11" t="s">
        <v>57</v>
      </c>
      <c r="C23" s="11" t="s">
        <v>113</v>
      </c>
      <c r="D23" s="52"/>
      <c r="E23" s="53" t="s">
        <v>299</v>
      </c>
      <c r="F23" s="12" t="s">
        <v>114</v>
      </c>
      <c r="G23" s="12">
        <v>3</v>
      </c>
      <c r="H23" s="35">
        <v>20</v>
      </c>
      <c r="I23" s="7">
        <v>1000000</v>
      </c>
      <c r="J23" s="14">
        <v>56500</v>
      </c>
      <c r="K23" s="15">
        <f>L23</f>
        <v>56500</v>
      </c>
      <c r="L23" s="15">
        <f>6555*4+7570*4</f>
        <v>56500</v>
      </c>
      <c r="M23" s="15">
        <f t="shared" si="0"/>
        <v>56500</v>
      </c>
      <c r="N23" s="15">
        <v>0</v>
      </c>
      <c r="O23" s="58">
        <f t="shared" si="1"/>
        <v>0</v>
      </c>
      <c r="P23" s="39">
        <f t="shared" si="2"/>
        <v>23</v>
      </c>
      <c r="Q23" s="40">
        <f t="shared" si="3"/>
        <v>1</v>
      </c>
      <c r="R23" s="7"/>
      <c r="S23" s="6"/>
      <c r="T23" s="16">
        <v>1</v>
      </c>
      <c r="U23" s="16"/>
      <c r="V23" s="17"/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0.95833333333333337</v>
      </c>
      <c r="AD23" s="10">
        <f t="shared" si="6"/>
        <v>0.95833333333333337</v>
      </c>
      <c r="AE23" s="36">
        <f t="shared" si="7"/>
        <v>0.45312500000000006</v>
      </c>
      <c r="AF23" s="84">
        <f t="shared" si="8"/>
        <v>16</v>
      </c>
    </row>
    <row r="24" spans="1:32" ht="18.75">
      <c r="A24" s="96">
        <v>31</v>
      </c>
      <c r="B24" s="11" t="s">
        <v>57</v>
      </c>
      <c r="C24" s="11"/>
      <c r="D24" s="52"/>
      <c r="E24" s="53"/>
      <c r="F24" s="12"/>
      <c r="G24" s="12"/>
      <c r="H24" s="35">
        <v>20</v>
      </c>
      <c r="I24" s="7"/>
      <c r="J24" s="14">
        <v>0</v>
      </c>
      <c r="K24" s="15">
        <f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>
        <v>24</v>
      </c>
      <c r="W24" s="5"/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0.45312500000000006</v>
      </c>
      <c r="AF24" s="84">
        <f t="shared" si="8"/>
        <v>31</v>
      </c>
    </row>
    <row r="25" spans="1:32" ht="18.75">
      <c r="A25" s="96">
        <v>32</v>
      </c>
      <c r="B25" s="11" t="s">
        <v>57</v>
      </c>
      <c r="C25" s="11"/>
      <c r="D25" s="52"/>
      <c r="E25" s="53"/>
      <c r="F25" s="12"/>
      <c r="G25" s="12"/>
      <c r="H25" s="35">
        <v>20</v>
      </c>
      <c r="I25" s="7"/>
      <c r="J25" s="14">
        <v>0</v>
      </c>
      <c r="K25" s="15">
        <f>L25</f>
        <v>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>
        <v>24</v>
      </c>
      <c r="W25" s="5"/>
      <c r="X25" s="16"/>
      <c r="Y25" s="16"/>
      <c r="Z25" s="16"/>
      <c r="AA25" s="18"/>
      <c r="AB25" s="8" t="str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0.45312500000000006</v>
      </c>
      <c r="AF25" s="84">
        <f t="shared" si="8"/>
        <v>32</v>
      </c>
    </row>
    <row r="26" spans="1:32" ht="18.75">
      <c r="A26" s="96">
        <v>33</v>
      </c>
      <c r="B26" s="11" t="s">
        <v>57</v>
      </c>
      <c r="C26" s="11" t="s">
        <v>116</v>
      </c>
      <c r="D26" s="52" t="s">
        <v>142</v>
      </c>
      <c r="E26" s="53" t="s">
        <v>146</v>
      </c>
      <c r="F26" s="12" t="s">
        <v>140</v>
      </c>
      <c r="G26" s="12">
        <v>1</v>
      </c>
      <c r="H26" s="35">
        <v>20</v>
      </c>
      <c r="I26" s="7">
        <v>140000</v>
      </c>
      <c r="J26" s="14">
        <v>3244</v>
      </c>
      <c r="K26" s="15">
        <f>L26+4387+7770+5806+7905+7479+7369+7360+2397+6904+7208+7013+6976+6992+2652+6495+7026+7051+7084+4297+6519+7042+3244</f>
        <v>136976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0.45312500000000006</v>
      </c>
      <c r="AF26" s="84">
        <f t="shared" si="8"/>
        <v>33</v>
      </c>
    </row>
    <row r="27" spans="1:32" ht="28.5">
      <c r="A27" s="96">
        <v>34</v>
      </c>
      <c r="B27" s="11" t="s">
        <v>57</v>
      </c>
      <c r="C27" s="11" t="s">
        <v>116</v>
      </c>
      <c r="D27" s="52" t="s">
        <v>142</v>
      </c>
      <c r="E27" s="53" t="s">
        <v>147</v>
      </c>
      <c r="F27" s="12" t="s">
        <v>131</v>
      </c>
      <c r="G27" s="12">
        <v>4</v>
      </c>
      <c r="H27" s="35">
        <v>20</v>
      </c>
      <c r="I27" s="7">
        <v>240000</v>
      </c>
      <c r="J27" s="14">
        <v>9988</v>
      </c>
      <c r="K27" s="15">
        <f>L27+24768+29084+29040+29804+27780+4064+26996+28972+25428+29132+9988</f>
        <v>265056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0.45312500000000006</v>
      </c>
      <c r="AF27" s="84">
        <f t="shared" si="8"/>
        <v>34</v>
      </c>
    </row>
    <row r="28" spans="1:32" ht="28.5">
      <c r="A28" s="96">
        <v>35</v>
      </c>
      <c r="B28" s="11" t="s">
        <v>57</v>
      </c>
      <c r="C28" s="11" t="s">
        <v>116</v>
      </c>
      <c r="D28" s="52" t="s">
        <v>122</v>
      </c>
      <c r="E28" s="53" t="s">
        <v>133</v>
      </c>
      <c r="F28" s="12" t="s">
        <v>131</v>
      </c>
      <c r="G28" s="12">
        <v>4</v>
      </c>
      <c r="H28" s="35">
        <v>20</v>
      </c>
      <c r="I28" s="7">
        <v>240000</v>
      </c>
      <c r="J28" s="14">
        <v>11600</v>
      </c>
      <c r="K28" s="15">
        <f>L28+25004+29968+31848+29672+31736+27000+29200+29420+29140+11600</f>
        <v>274588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20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6"/>
        <v>0</v>
      </c>
      <c r="AE28" s="36">
        <f t="shared" si="7"/>
        <v>0.45312500000000006</v>
      </c>
      <c r="AF28" s="84">
        <f t="shared" si="8"/>
        <v>35</v>
      </c>
    </row>
    <row r="29" spans="1:32" ht="19.5" thickBot="1">
      <c r="A29" s="96">
        <v>36</v>
      </c>
      <c r="B29" s="11" t="s">
        <v>57</v>
      </c>
      <c r="C29" s="11" t="s">
        <v>173</v>
      </c>
      <c r="D29" s="52"/>
      <c r="E29" s="53" t="s">
        <v>174</v>
      </c>
      <c r="F29" s="12" t="s">
        <v>175</v>
      </c>
      <c r="G29" s="12">
        <v>32</v>
      </c>
      <c r="H29" s="35">
        <v>20</v>
      </c>
      <c r="I29" s="7">
        <v>700000</v>
      </c>
      <c r="J29" s="14">
        <v>89792</v>
      </c>
      <c r="K29" s="15">
        <f>L29+326528+448864+89792</f>
        <v>865184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20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6"/>
        <v>0</v>
      </c>
      <c r="AE29" s="36">
        <f t="shared" si="7"/>
        <v>0.45312500000000006</v>
      </c>
      <c r="AF29" s="84">
        <f t="shared" si="8"/>
        <v>36</v>
      </c>
    </row>
    <row r="30" spans="1:32" ht="19.5" thickBot="1">
      <c r="A30" s="549" t="s">
        <v>34</v>
      </c>
      <c r="B30" s="550"/>
      <c r="C30" s="550"/>
      <c r="D30" s="550"/>
      <c r="E30" s="550"/>
      <c r="F30" s="550"/>
      <c r="G30" s="550"/>
      <c r="H30" s="551"/>
      <c r="I30" s="22">
        <f t="shared" ref="I30:N30" si="17">SUM(I6:I29)</f>
        <v>3507300</v>
      </c>
      <c r="J30" s="19">
        <f t="shared" si="17"/>
        <v>339557</v>
      </c>
      <c r="K30" s="20">
        <f t="shared" si="17"/>
        <v>2352245</v>
      </c>
      <c r="L30" s="21">
        <f t="shared" si="17"/>
        <v>190463</v>
      </c>
      <c r="M30" s="20">
        <f t="shared" si="17"/>
        <v>190463</v>
      </c>
      <c r="N30" s="21">
        <f t="shared" si="17"/>
        <v>0</v>
      </c>
      <c r="O30" s="41">
        <f t="shared" si="1"/>
        <v>0</v>
      </c>
      <c r="P30" s="42">
        <f t="shared" ref="P30:AA30" si="18">SUM(P6:P29)</f>
        <v>261</v>
      </c>
      <c r="Q30" s="43">
        <f t="shared" si="18"/>
        <v>315</v>
      </c>
      <c r="R30" s="23">
        <f t="shared" si="18"/>
        <v>0</v>
      </c>
      <c r="S30" s="24">
        <f t="shared" si="18"/>
        <v>46</v>
      </c>
      <c r="T30" s="24">
        <f t="shared" si="18"/>
        <v>17</v>
      </c>
      <c r="U30" s="24">
        <f t="shared" si="18"/>
        <v>0</v>
      </c>
      <c r="V30" s="25">
        <f t="shared" si="18"/>
        <v>48</v>
      </c>
      <c r="W30" s="26">
        <f t="shared" si="18"/>
        <v>180</v>
      </c>
      <c r="X30" s="27">
        <f t="shared" si="18"/>
        <v>0</v>
      </c>
      <c r="Y30" s="27">
        <f t="shared" si="18"/>
        <v>0</v>
      </c>
      <c r="Z30" s="27">
        <f t="shared" si="18"/>
        <v>0</v>
      </c>
      <c r="AA30" s="27">
        <f t="shared" si="18"/>
        <v>24</v>
      </c>
      <c r="AB30" s="28">
        <f>AVERAGE(AB6:AB29)</f>
        <v>0.63636363636363635</v>
      </c>
      <c r="AC30" s="4">
        <f>AVERAGE(AC6:AC29)</f>
        <v>0.45312500000000006</v>
      </c>
      <c r="AD30" s="4">
        <f>AVERAGE(AD6:AD29)</f>
        <v>0.45312500000000006</v>
      </c>
      <c r="AE30" s="29"/>
    </row>
    <row r="31" spans="1:32">
      <c r="T31" s="50" t="s">
        <v>143</v>
      </c>
    </row>
    <row r="32" spans="1:32" ht="18.75">
      <c r="A32" s="2"/>
      <c r="B32" s="2" t="s">
        <v>35</v>
      </c>
      <c r="C32" s="2"/>
      <c r="D32" s="2"/>
      <c r="E32" s="2"/>
      <c r="F32" s="2"/>
      <c r="G32" s="2"/>
      <c r="H32" s="3"/>
      <c r="I32" s="3"/>
      <c r="J32" s="2"/>
      <c r="K32" s="2"/>
      <c r="L32" s="2"/>
      <c r="M32" s="2"/>
      <c r="N32" s="2" t="s">
        <v>36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1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 t="s">
        <v>144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85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27">
      <c r="A47" s="59"/>
      <c r="B47" s="59"/>
      <c r="C47" s="59"/>
      <c r="D47" s="59"/>
      <c r="E47" s="59"/>
      <c r="F47" s="37"/>
      <c r="G47" s="37"/>
      <c r="H47" s="38"/>
      <c r="I47" s="38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F47" s="50"/>
    </row>
    <row r="48" spans="1:32" ht="29.25" customHeight="1">
      <c r="A48" s="60"/>
      <c r="B48" s="60"/>
      <c r="C48" s="61"/>
      <c r="D48" s="61"/>
      <c r="E48" s="61"/>
      <c r="F48" s="60"/>
      <c r="G48" s="60"/>
      <c r="H48" s="60"/>
      <c r="I48" s="60"/>
      <c r="J48" s="60"/>
      <c r="K48" s="60"/>
      <c r="L48" s="60"/>
      <c r="M48" s="61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14.2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36" thickBot="1">
      <c r="A57" s="552" t="s">
        <v>45</v>
      </c>
      <c r="B57" s="552"/>
      <c r="C57" s="552"/>
      <c r="D57" s="552"/>
      <c r="E57" s="552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26.25" thickBot="1">
      <c r="A58" s="553" t="s">
        <v>374</v>
      </c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5"/>
      <c r="N58" s="556" t="s">
        <v>379</v>
      </c>
      <c r="O58" s="557"/>
      <c r="P58" s="557"/>
      <c r="Q58" s="557"/>
      <c r="R58" s="557"/>
      <c r="S58" s="557"/>
      <c r="T58" s="557"/>
      <c r="U58" s="557"/>
      <c r="V58" s="557"/>
      <c r="W58" s="557"/>
      <c r="X58" s="557"/>
      <c r="Y58" s="557"/>
      <c r="Z58" s="557"/>
      <c r="AA58" s="557"/>
      <c r="AB58" s="557"/>
      <c r="AC58" s="557"/>
      <c r="AD58" s="558"/>
    </row>
    <row r="59" spans="1:32" ht="27" customHeight="1">
      <c r="A59" s="559" t="s">
        <v>2</v>
      </c>
      <c r="B59" s="560"/>
      <c r="C59" s="259" t="s">
        <v>46</v>
      </c>
      <c r="D59" s="259" t="s">
        <v>47</v>
      </c>
      <c r="E59" s="259" t="s">
        <v>107</v>
      </c>
      <c r="F59" s="561" t="s">
        <v>106</v>
      </c>
      <c r="G59" s="562"/>
      <c r="H59" s="562"/>
      <c r="I59" s="562"/>
      <c r="J59" s="562"/>
      <c r="K59" s="562"/>
      <c r="L59" s="562"/>
      <c r="M59" s="563"/>
      <c r="N59" s="67" t="s">
        <v>110</v>
      </c>
      <c r="O59" s="259" t="s">
        <v>46</v>
      </c>
      <c r="P59" s="561" t="s">
        <v>47</v>
      </c>
      <c r="Q59" s="564"/>
      <c r="R59" s="561" t="s">
        <v>38</v>
      </c>
      <c r="S59" s="562"/>
      <c r="T59" s="562"/>
      <c r="U59" s="564"/>
      <c r="V59" s="561" t="s">
        <v>48</v>
      </c>
      <c r="W59" s="562"/>
      <c r="X59" s="562"/>
      <c r="Y59" s="562"/>
      <c r="Z59" s="562"/>
      <c r="AA59" s="562"/>
      <c r="AB59" s="562"/>
      <c r="AC59" s="562"/>
      <c r="AD59" s="563"/>
    </row>
    <row r="60" spans="1:32" ht="27" customHeight="1">
      <c r="A60" s="543" t="s">
        <v>116</v>
      </c>
      <c r="B60" s="533"/>
      <c r="C60" s="262" t="s">
        <v>307</v>
      </c>
      <c r="D60" s="262" t="s">
        <v>115</v>
      </c>
      <c r="E60" s="262" t="s">
        <v>373</v>
      </c>
      <c r="F60" s="530" t="s">
        <v>124</v>
      </c>
      <c r="G60" s="531"/>
      <c r="H60" s="531"/>
      <c r="I60" s="531"/>
      <c r="J60" s="531"/>
      <c r="K60" s="531"/>
      <c r="L60" s="531"/>
      <c r="M60" s="532"/>
      <c r="N60" s="261" t="s">
        <v>116</v>
      </c>
      <c r="O60" s="267" t="s">
        <v>210</v>
      </c>
      <c r="P60" s="544" t="s">
        <v>142</v>
      </c>
      <c r="Q60" s="545"/>
      <c r="R60" s="544" t="s">
        <v>360</v>
      </c>
      <c r="S60" s="546"/>
      <c r="T60" s="546"/>
      <c r="U60" s="545"/>
      <c r="V60" s="517" t="s">
        <v>120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116</v>
      </c>
      <c r="B61" s="533"/>
      <c r="C61" s="262" t="s">
        <v>201</v>
      </c>
      <c r="D61" s="262" t="s">
        <v>115</v>
      </c>
      <c r="E61" s="262" t="s">
        <v>361</v>
      </c>
      <c r="F61" s="530" t="s">
        <v>375</v>
      </c>
      <c r="G61" s="531"/>
      <c r="H61" s="531"/>
      <c r="I61" s="531"/>
      <c r="J61" s="531"/>
      <c r="K61" s="531"/>
      <c r="L61" s="531"/>
      <c r="M61" s="532"/>
      <c r="N61" s="261" t="s">
        <v>116</v>
      </c>
      <c r="O61" s="267" t="s">
        <v>201</v>
      </c>
      <c r="P61" s="544" t="s">
        <v>115</v>
      </c>
      <c r="Q61" s="545"/>
      <c r="R61" s="544" t="s">
        <v>361</v>
      </c>
      <c r="S61" s="546"/>
      <c r="T61" s="546"/>
      <c r="U61" s="545"/>
      <c r="V61" s="517" t="s">
        <v>120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 t="s">
        <v>116</v>
      </c>
      <c r="B62" s="533"/>
      <c r="C62" s="262" t="s">
        <v>210</v>
      </c>
      <c r="D62" s="262" t="s">
        <v>142</v>
      </c>
      <c r="E62" s="262" t="s">
        <v>361</v>
      </c>
      <c r="F62" s="530" t="s">
        <v>376</v>
      </c>
      <c r="G62" s="531"/>
      <c r="H62" s="531"/>
      <c r="I62" s="531"/>
      <c r="J62" s="531"/>
      <c r="K62" s="531"/>
      <c r="L62" s="531"/>
      <c r="M62" s="532"/>
      <c r="N62" s="261" t="s">
        <v>138</v>
      </c>
      <c r="O62" s="267" t="s">
        <v>287</v>
      </c>
      <c r="P62" s="544" t="s">
        <v>135</v>
      </c>
      <c r="Q62" s="545"/>
      <c r="R62" s="544" t="s">
        <v>380</v>
      </c>
      <c r="S62" s="546"/>
      <c r="T62" s="546"/>
      <c r="U62" s="545"/>
      <c r="V62" s="517" t="s">
        <v>124</v>
      </c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 t="s">
        <v>112</v>
      </c>
      <c r="B63" s="533"/>
      <c r="C63" s="262" t="s">
        <v>167</v>
      </c>
      <c r="D63" s="262" t="s">
        <v>137</v>
      </c>
      <c r="E63" s="262" t="s">
        <v>191</v>
      </c>
      <c r="F63" s="530" t="s">
        <v>377</v>
      </c>
      <c r="G63" s="531"/>
      <c r="H63" s="531"/>
      <c r="I63" s="531"/>
      <c r="J63" s="531"/>
      <c r="K63" s="531"/>
      <c r="L63" s="531"/>
      <c r="M63" s="532"/>
      <c r="N63" s="261" t="s">
        <v>138</v>
      </c>
      <c r="O63" s="267" t="s">
        <v>161</v>
      </c>
      <c r="P63" s="544" t="s">
        <v>115</v>
      </c>
      <c r="Q63" s="545"/>
      <c r="R63" s="544" t="s">
        <v>381</v>
      </c>
      <c r="S63" s="546"/>
      <c r="T63" s="546"/>
      <c r="U63" s="545"/>
      <c r="V63" s="517" t="s">
        <v>124</v>
      </c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 t="s">
        <v>112</v>
      </c>
      <c r="B64" s="533"/>
      <c r="C64" s="262" t="s">
        <v>161</v>
      </c>
      <c r="D64" s="262" t="s">
        <v>115</v>
      </c>
      <c r="E64" s="262" t="s">
        <v>378</v>
      </c>
      <c r="F64" s="530" t="s">
        <v>124</v>
      </c>
      <c r="G64" s="531"/>
      <c r="H64" s="531"/>
      <c r="I64" s="531"/>
      <c r="J64" s="531"/>
      <c r="K64" s="531"/>
      <c r="L64" s="531"/>
      <c r="M64" s="532"/>
      <c r="N64" s="261" t="s">
        <v>112</v>
      </c>
      <c r="O64" s="267" t="s">
        <v>167</v>
      </c>
      <c r="P64" s="544" t="s">
        <v>137</v>
      </c>
      <c r="Q64" s="545"/>
      <c r="R64" s="544" t="s">
        <v>191</v>
      </c>
      <c r="S64" s="546"/>
      <c r="T64" s="546"/>
      <c r="U64" s="545"/>
      <c r="V64" s="517" t="s">
        <v>120</v>
      </c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43"/>
      <c r="B65" s="533"/>
      <c r="C65" s="262"/>
      <c r="D65" s="262"/>
      <c r="E65" s="262"/>
      <c r="F65" s="530"/>
      <c r="G65" s="531"/>
      <c r="H65" s="531"/>
      <c r="I65" s="531"/>
      <c r="J65" s="531"/>
      <c r="K65" s="531"/>
      <c r="L65" s="531"/>
      <c r="M65" s="532"/>
      <c r="N65" s="261"/>
      <c r="O65" s="267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43"/>
      <c r="B66" s="533"/>
      <c r="C66" s="262"/>
      <c r="D66" s="262"/>
      <c r="E66" s="262"/>
      <c r="F66" s="530"/>
      <c r="G66" s="531"/>
      <c r="H66" s="531"/>
      <c r="I66" s="531"/>
      <c r="J66" s="531"/>
      <c r="K66" s="531"/>
      <c r="L66" s="531"/>
      <c r="M66" s="532"/>
      <c r="N66" s="261"/>
      <c r="O66" s="267"/>
      <c r="P66" s="544"/>
      <c r="Q66" s="545"/>
      <c r="R66" s="544"/>
      <c r="S66" s="546"/>
      <c r="T66" s="546"/>
      <c r="U66" s="545"/>
      <c r="V66" s="517"/>
      <c r="W66" s="517"/>
      <c r="X66" s="517"/>
      <c r="Y66" s="517"/>
      <c r="Z66" s="517"/>
      <c r="AA66" s="517"/>
      <c r="AB66" s="517"/>
      <c r="AC66" s="517"/>
      <c r="AD66" s="534"/>
    </row>
    <row r="67" spans="1:32" ht="27" customHeight="1">
      <c r="A67" s="528"/>
      <c r="B67" s="529"/>
      <c r="C67" s="260"/>
      <c r="D67" s="260"/>
      <c r="E67" s="262"/>
      <c r="F67" s="530"/>
      <c r="G67" s="531"/>
      <c r="H67" s="531"/>
      <c r="I67" s="531"/>
      <c r="J67" s="531"/>
      <c r="K67" s="531"/>
      <c r="L67" s="531"/>
      <c r="M67" s="532"/>
      <c r="N67" s="261"/>
      <c r="O67" s="267"/>
      <c r="P67" s="544"/>
      <c r="Q67" s="545"/>
      <c r="R67" s="544"/>
      <c r="S67" s="546"/>
      <c r="T67" s="546"/>
      <c r="U67" s="545"/>
      <c r="V67" s="517"/>
      <c r="W67" s="517"/>
      <c r="X67" s="517"/>
      <c r="Y67" s="517"/>
      <c r="Z67" s="517"/>
      <c r="AA67" s="517"/>
      <c r="AB67" s="517"/>
      <c r="AC67" s="517"/>
      <c r="AD67" s="534"/>
    </row>
    <row r="68" spans="1:32" ht="27" customHeight="1">
      <c r="A68" s="528"/>
      <c r="B68" s="529"/>
      <c r="C68" s="260"/>
      <c r="D68" s="260"/>
      <c r="E68" s="262"/>
      <c r="F68" s="530"/>
      <c r="G68" s="531"/>
      <c r="H68" s="531"/>
      <c r="I68" s="531"/>
      <c r="J68" s="531"/>
      <c r="K68" s="531"/>
      <c r="L68" s="531"/>
      <c r="M68" s="532"/>
      <c r="N68" s="261"/>
      <c r="O68" s="267"/>
      <c r="P68" s="533"/>
      <c r="Q68" s="533"/>
      <c r="R68" s="533"/>
      <c r="S68" s="533"/>
      <c r="T68" s="533"/>
      <c r="U68" s="533"/>
      <c r="V68" s="517"/>
      <c r="W68" s="517"/>
      <c r="X68" s="517"/>
      <c r="Y68" s="517"/>
      <c r="Z68" s="517"/>
      <c r="AA68" s="517"/>
      <c r="AB68" s="517"/>
      <c r="AC68" s="517"/>
      <c r="AD68" s="534"/>
      <c r="AF68" s="84">
        <f>8*3000</f>
        <v>24000</v>
      </c>
    </row>
    <row r="69" spans="1:32" ht="27" customHeight="1" thickBot="1">
      <c r="A69" s="535"/>
      <c r="B69" s="536"/>
      <c r="C69" s="263"/>
      <c r="D69" s="264"/>
      <c r="E69" s="263"/>
      <c r="F69" s="537"/>
      <c r="G69" s="538"/>
      <c r="H69" s="538"/>
      <c r="I69" s="538"/>
      <c r="J69" s="538"/>
      <c r="K69" s="538"/>
      <c r="L69" s="538"/>
      <c r="M69" s="539"/>
      <c r="N69" s="111"/>
      <c r="O69" s="103"/>
      <c r="P69" s="540"/>
      <c r="Q69" s="540"/>
      <c r="R69" s="540"/>
      <c r="S69" s="540"/>
      <c r="T69" s="540"/>
      <c r="U69" s="540"/>
      <c r="V69" s="541"/>
      <c r="W69" s="541"/>
      <c r="X69" s="541"/>
      <c r="Y69" s="541"/>
      <c r="Z69" s="541"/>
      <c r="AA69" s="541"/>
      <c r="AB69" s="541"/>
      <c r="AC69" s="541"/>
      <c r="AD69" s="542"/>
      <c r="AF69" s="84">
        <f>16*3000</f>
        <v>48000</v>
      </c>
    </row>
    <row r="70" spans="1:32" ht="27.75" thickBot="1">
      <c r="A70" s="526" t="s">
        <v>382</v>
      </c>
      <c r="B70" s="526"/>
      <c r="C70" s="526"/>
      <c r="D70" s="526"/>
      <c r="E70" s="526"/>
      <c r="F70" s="37"/>
      <c r="G70" s="37"/>
      <c r="H70" s="38"/>
      <c r="I70" s="38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F70" s="84">
        <v>24000</v>
      </c>
    </row>
    <row r="71" spans="1:32" ht="29.25" customHeight="1" thickBot="1">
      <c r="A71" s="527" t="s">
        <v>111</v>
      </c>
      <c r="B71" s="524"/>
      <c r="C71" s="265" t="s">
        <v>2</v>
      </c>
      <c r="D71" s="265" t="s">
        <v>37</v>
      </c>
      <c r="E71" s="265" t="s">
        <v>3</v>
      </c>
      <c r="F71" s="524" t="s">
        <v>109</v>
      </c>
      <c r="G71" s="524"/>
      <c r="H71" s="524"/>
      <c r="I71" s="524"/>
      <c r="J71" s="524"/>
      <c r="K71" s="524" t="s">
        <v>39</v>
      </c>
      <c r="L71" s="524"/>
      <c r="M71" s="265" t="s">
        <v>40</v>
      </c>
      <c r="N71" s="524" t="s">
        <v>41</v>
      </c>
      <c r="O71" s="524"/>
      <c r="P71" s="521" t="s">
        <v>42</v>
      </c>
      <c r="Q71" s="523"/>
      <c r="R71" s="521" t="s">
        <v>43</v>
      </c>
      <c r="S71" s="522"/>
      <c r="T71" s="522"/>
      <c r="U71" s="522"/>
      <c r="V71" s="522"/>
      <c r="W71" s="522"/>
      <c r="X71" s="522"/>
      <c r="Y71" s="522"/>
      <c r="Z71" s="522"/>
      <c r="AA71" s="523"/>
      <c r="AB71" s="524" t="s">
        <v>44</v>
      </c>
      <c r="AC71" s="524"/>
      <c r="AD71" s="525"/>
      <c r="AF71" s="84">
        <f>SUM(AF68:AF70)</f>
        <v>96000</v>
      </c>
    </row>
    <row r="72" spans="1:32" ht="25.5" customHeight="1">
      <c r="A72" s="512">
        <v>1</v>
      </c>
      <c r="B72" s="513"/>
      <c r="C72" s="104"/>
      <c r="D72" s="269"/>
      <c r="E72" s="266"/>
      <c r="F72" s="518"/>
      <c r="G72" s="519"/>
      <c r="H72" s="519"/>
      <c r="I72" s="519"/>
      <c r="J72" s="520"/>
      <c r="K72" s="504"/>
      <c r="L72" s="504"/>
      <c r="M72" s="51"/>
      <c r="N72" s="515"/>
      <c r="O72" s="515"/>
      <c r="P72" s="516"/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2</v>
      </c>
      <c r="B73" s="513"/>
      <c r="C73" s="104"/>
      <c r="D73" s="269"/>
      <c r="E73" s="266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3</v>
      </c>
      <c r="B74" s="513"/>
      <c r="C74" s="104"/>
      <c r="D74" s="269"/>
      <c r="E74" s="266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4</v>
      </c>
      <c r="B75" s="513"/>
      <c r="C75" s="104"/>
      <c r="D75" s="269"/>
      <c r="E75" s="266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5</v>
      </c>
      <c r="B76" s="513"/>
      <c r="C76" s="104"/>
      <c r="D76" s="269"/>
      <c r="E76" s="266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6</v>
      </c>
      <c r="B77" s="513"/>
      <c r="C77" s="104"/>
      <c r="D77" s="269"/>
      <c r="E77" s="266"/>
      <c r="F77" s="518"/>
      <c r="G77" s="519"/>
      <c r="H77" s="519"/>
      <c r="I77" s="519"/>
      <c r="J77" s="520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7</v>
      </c>
      <c r="B78" s="513"/>
      <c r="C78" s="104"/>
      <c r="D78" s="269"/>
      <c r="E78" s="266"/>
      <c r="F78" s="518"/>
      <c r="G78" s="519"/>
      <c r="H78" s="519"/>
      <c r="I78" s="519"/>
      <c r="J78" s="520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8</v>
      </c>
      <c r="B79" s="513"/>
      <c r="C79" s="104"/>
      <c r="D79" s="269"/>
      <c r="E79" s="266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5.5" customHeight="1">
      <c r="A80" s="512">
        <v>9</v>
      </c>
      <c r="B80" s="513"/>
      <c r="C80" s="104"/>
      <c r="D80" s="269"/>
      <c r="E80" s="266"/>
      <c r="F80" s="514"/>
      <c r="G80" s="504"/>
      <c r="H80" s="504"/>
      <c r="I80" s="504"/>
      <c r="J80" s="504"/>
      <c r="K80" s="504"/>
      <c r="L80" s="504"/>
      <c r="M80" s="51"/>
      <c r="N80" s="515"/>
      <c r="O80" s="515"/>
      <c r="P80" s="516"/>
      <c r="Q80" s="516"/>
      <c r="R80" s="517"/>
      <c r="S80" s="517"/>
      <c r="T80" s="517"/>
      <c r="U80" s="517"/>
      <c r="V80" s="517"/>
      <c r="W80" s="517"/>
      <c r="X80" s="517"/>
      <c r="Y80" s="517"/>
      <c r="Z80" s="517"/>
      <c r="AA80" s="517"/>
      <c r="AB80" s="504"/>
      <c r="AC80" s="504"/>
      <c r="AD80" s="505"/>
      <c r="AF80" s="50"/>
    </row>
    <row r="81" spans="1:32" ht="25.5" customHeight="1">
      <c r="A81" s="512">
        <v>10</v>
      </c>
      <c r="B81" s="513"/>
      <c r="C81" s="104"/>
      <c r="D81" s="269"/>
      <c r="E81" s="266"/>
      <c r="F81" s="514"/>
      <c r="G81" s="504"/>
      <c r="H81" s="504"/>
      <c r="I81" s="504"/>
      <c r="J81" s="504"/>
      <c r="K81" s="504"/>
      <c r="L81" s="504"/>
      <c r="M81" s="51"/>
      <c r="N81" s="515"/>
      <c r="O81" s="515"/>
      <c r="P81" s="516"/>
      <c r="Q81" s="516"/>
      <c r="R81" s="517"/>
      <c r="S81" s="517"/>
      <c r="T81" s="517"/>
      <c r="U81" s="517"/>
      <c r="V81" s="517"/>
      <c r="W81" s="517"/>
      <c r="X81" s="517"/>
      <c r="Y81" s="517"/>
      <c r="Z81" s="517"/>
      <c r="AA81" s="517"/>
      <c r="AB81" s="504"/>
      <c r="AC81" s="504"/>
      <c r="AD81" s="505"/>
      <c r="AF81" s="50"/>
    </row>
    <row r="82" spans="1:32" ht="26.25" customHeight="1" thickBot="1">
      <c r="A82" s="484" t="s">
        <v>383</v>
      </c>
      <c r="B82" s="484"/>
      <c r="C82" s="484"/>
      <c r="D82" s="484"/>
      <c r="E82" s="484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23.25" thickBot="1">
      <c r="A83" s="506" t="s">
        <v>111</v>
      </c>
      <c r="B83" s="507"/>
      <c r="C83" s="268" t="s">
        <v>2</v>
      </c>
      <c r="D83" s="268" t="s">
        <v>37</v>
      </c>
      <c r="E83" s="268" t="s">
        <v>121</v>
      </c>
      <c r="F83" s="486" t="s">
        <v>38</v>
      </c>
      <c r="G83" s="486"/>
      <c r="H83" s="486"/>
      <c r="I83" s="486"/>
      <c r="J83" s="486"/>
      <c r="K83" s="508" t="s">
        <v>58</v>
      </c>
      <c r="L83" s="509"/>
      <c r="M83" s="509"/>
      <c r="N83" s="509"/>
      <c r="O83" s="509"/>
      <c r="P83" s="509"/>
      <c r="Q83" s="509"/>
      <c r="R83" s="509"/>
      <c r="S83" s="510"/>
      <c r="T83" s="486" t="s">
        <v>49</v>
      </c>
      <c r="U83" s="486"/>
      <c r="V83" s="508" t="s">
        <v>50</v>
      </c>
      <c r="W83" s="510"/>
      <c r="X83" s="509" t="s">
        <v>51</v>
      </c>
      <c r="Y83" s="509"/>
      <c r="Z83" s="509"/>
      <c r="AA83" s="509"/>
      <c r="AB83" s="509"/>
      <c r="AC83" s="509"/>
      <c r="AD83" s="511"/>
      <c r="AF83" s="50"/>
    </row>
    <row r="84" spans="1:32" ht="33.75" customHeight="1">
      <c r="A84" s="478">
        <v>1</v>
      </c>
      <c r="B84" s="479"/>
      <c r="C84" s="270"/>
      <c r="D84" s="270"/>
      <c r="E84" s="65"/>
      <c r="F84" s="493"/>
      <c r="G84" s="494"/>
      <c r="H84" s="494"/>
      <c r="I84" s="494"/>
      <c r="J84" s="495"/>
      <c r="K84" s="496"/>
      <c r="L84" s="497"/>
      <c r="M84" s="497"/>
      <c r="N84" s="497"/>
      <c r="O84" s="497"/>
      <c r="P84" s="497"/>
      <c r="Q84" s="497"/>
      <c r="R84" s="497"/>
      <c r="S84" s="498"/>
      <c r="T84" s="499"/>
      <c r="U84" s="500"/>
      <c r="V84" s="501"/>
      <c r="W84" s="501"/>
      <c r="X84" s="502"/>
      <c r="Y84" s="502"/>
      <c r="Z84" s="502"/>
      <c r="AA84" s="502"/>
      <c r="AB84" s="502"/>
      <c r="AC84" s="502"/>
      <c r="AD84" s="503"/>
      <c r="AF84" s="50"/>
    </row>
    <row r="85" spans="1:32" ht="30" customHeight="1">
      <c r="A85" s="471">
        <f>A84+1</f>
        <v>2</v>
      </c>
      <c r="B85" s="472"/>
      <c r="C85" s="269"/>
      <c r="D85" s="269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ref="A86:A90" si="19">A85+1</f>
        <v>3</v>
      </c>
      <c r="B86" s="472"/>
      <c r="C86" s="269"/>
      <c r="D86" s="269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9"/>
        <v>4</v>
      </c>
      <c r="B87" s="472"/>
      <c r="C87" s="269"/>
      <c r="D87" s="269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9"/>
        <v>5</v>
      </c>
      <c r="B88" s="472"/>
      <c r="C88" s="269"/>
      <c r="D88" s="269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0" customHeight="1">
      <c r="A89" s="471">
        <f t="shared" si="19"/>
        <v>6</v>
      </c>
      <c r="B89" s="472"/>
      <c r="C89" s="269"/>
      <c r="D89" s="269"/>
      <c r="E89" s="32"/>
      <c r="F89" s="472"/>
      <c r="G89" s="472"/>
      <c r="H89" s="472"/>
      <c r="I89" s="472"/>
      <c r="J89" s="472"/>
      <c r="K89" s="487"/>
      <c r="L89" s="488"/>
      <c r="M89" s="488"/>
      <c r="N89" s="488"/>
      <c r="O89" s="488"/>
      <c r="P89" s="488"/>
      <c r="Q89" s="488"/>
      <c r="R89" s="488"/>
      <c r="S89" s="489"/>
      <c r="T89" s="490"/>
      <c r="U89" s="490"/>
      <c r="V89" s="490"/>
      <c r="W89" s="490"/>
      <c r="X89" s="491"/>
      <c r="Y89" s="491"/>
      <c r="Z89" s="491"/>
      <c r="AA89" s="491"/>
      <c r="AB89" s="491"/>
      <c r="AC89" s="491"/>
      <c r="AD89" s="492"/>
      <c r="AF89" s="50"/>
    </row>
    <row r="90" spans="1:32" ht="30" customHeight="1">
      <c r="A90" s="471">
        <f t="shared" si="19"/>
        <v>7</v>
      </c>
      <c r="B90" s="472"/>
      <c r="C90" s="269"/>
      <c r="D90" s="269"/>
      <c r="E90" s="32"/>
      <c r="F90" s="472"/>
      <c r="G90" s="472"/>
      <c r="H90" s="472"/>
      <c r="I90" s="472"/>
      <c r="J90" s="472"/>
      <c r="K90" s="487"/>
      <c r="L90" s="488"/>
      <c r="M90" s="488"/>
      <c r="N90" s="488"/>
      <c r="O90" s="488"/>
      <c r="P90" s="488"/>
      <c r="Q90" s="488"/>
      <c r="R90" s="488"/>
      <c r="S90" s="489"/>
      <c r="T90" s="490"/>
      <c r="U90" s="490"/>
      <c r="V90" s="490"/>
      <c r="W90" s="490"/>
      <c r="X90" s="491"/>
      <c r="Y90" s="491"/>
      <c r="Z90" s="491"/>
      <c r="AA90" s="491"/>
      <c r="AB90" s="491"/>
      <c r="AC90" s="491"/>
      <c r="AD90" s="492"/>
      <c r="AF90" s="50"/>
    </row>
    <row r="91" spans="1:32" ht="36" thickBot="1">
      <c r="A91" s="484" t="s">
        <v>384</v>
      </c>
      <c r="B91" s="484"/>
      <c r="C91" s="484"/>
      <c r="D91" s="484"/>
      <c r="E91" s="484"/>
      <c r="F91" s="37"/>
      <c r="G91" s="37"/>
      <c r="H91" s="38"/>
      <c r="I91" s="38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F91" s="50"/>
    </row>
    <row r="92" spans="1:32" ht="30.75" customHeight="1" thickBot="1">
      <c r="A92" s="485" t="s">
        <v>111</v>
      </c>
      <c r="B92" s="486"/>
      <c r="C92" s="476" t="s">
        <v>52</v>
      </c>
      <c r="D92" s="476"/>
      <c r="E92" s="476" t="s">
        <v>53</v>
      </c>
      <c r="F92" s="476"/>
      <c r="G92" s="476"/>
      <c r="H92" s="476"/>
      <c r="I92" s="476"/>
      <c r="J92" s="476"/>
      <c r="K92" s="476" t="s">
        <v>54</v>
      </c>
      <c r="L92" s="476"/>
      <c r="M92" s="476"/>
      <c r="N92" s="476"/>
      <c r="O92" s="476"/>
      <c r="P92" s="476"/>
      <c r="Q92" s="476"/>
      <c r="R92" s="476"/>
      <c r="S92" s="476"/>
      <c r="T92" s="476" t="s">
        <v>55</v>
      </c>
      <c r="U92" s="476"/>
      <c r="V92" s="476" t="s">
        <v>56</v>
      </c>
      <c r="W92" s="476"/>
      <c r="X92" s="476"/>
      <c r="Y92" s="476" t="s">
        <v>51</v>
      </c>
      <c r="Z92" s="476"/>
      <c r="AA92" s="476"/>
      <c r="AB92" s="476"/>
      <c r="AC92" s="476"/>
      <c r="AD92" s="477"/>
      <c r="AF92" s="50"/>
    </row>
    <row r="93" spans="1:32" ht="30.75" customHeight="1">
      <c r="A93" s="478">
        <v>1</v>
      </c>
      <c r="B93" s="479"/>
      <c r="C93" s="480">
        <v>9</v>
      </c>
      <c r="D93" s="480"/>
      <c r="E93" s="480" t="s">
        <v>125</v>
      </c>
      <c r="F93" s="480"/>
      <c r="G93" s="480"/>
      <c r="H93" s="480"/>
      <c r="I93" s="480"/>
      <c r="J93" s="480"/>
      <c r="K93" s="480" t="s">
        <v>132</v>
      </c>
      <c r="L93" s="480"/>
      <c r="M93" s="480"/>
      <c r="N93" s="480"/>
      <c r="O93" s="480"/>
      <c r="P93" s="480"/>
      <c r="Q93" s="480"/>
      <c r="R93" s="480"/>
      <c r="S93" s="480"/>
      <c r="T93" s="480" t="s">
        <v>126</v>
      </c>
      <c r="U93" s="480"/>
      <c r="V93" s="481" t="s">
        <v>129</v>
      </c>
      <c r="W93" s="481"/>
      <c r="X93" s="481"/>
      <c r="Y93" s="482"/>
      <c r="Z93" s="482"/>
      <c r="AA93" s="482"/>
      <c r="AB93" s="482"/>
      <c r="AC93" s="482"/>
      <c r="AD93" s="483"/>
      <c r="AF93" s="50"/>
    </row>
    <row r="94" spans="1:32" ht="30.75" customHeight="1">
      <c r="A94" s="471">
        <v>2</v>
      </c>
      <c r="B94" s="472"/>
      <c r="C94" s="473"/>
      <c r="D94" s="473"/>
      <c r="E94" s="473"/>
      <c r="F94" s="473"/>
      <c r="G94" s="473"/>
      <c r="H94" s="473"/>
      <c r="I94" s="473"/>
      <c r="J94" s="473"/>
      <c r="K94" s="473"/>
      <c r="L94" s="473"/>
      <c r="M94" s="473"/>
      <c r="N94" s="473"/>
      <c r="O94" s="473"/>
      <c r="P94" s="473"/>
      <c r="Q94" s="473"/>
      <c r="R94" s="473"/>
      <c r="S94" s="473"/>
      <c r="T94" s="474"/>
      <c r="U94" s="474"/>
      <c r="V94" s="475"/>
      <c r="W94" s="475"/>
      <c r="X94" s="475"/>
      <c r="Y94" s="463"/>
      <c r="Z94" s="463"/>
      <c r="AA94" s="463"/>
      <c r="AB94" s="463"/>
      <c r="AC94" s="463"/>
      <c r="AD94" s="464"/>
      <c r="AF94" s="50"/>
    </row>
    <row r="95" spans="1:32" ht="30.75" customHeight="1" thickBot="1">
      <c r="A95" s="465">
        <v>3</v>
      </c>
      <c r="B95" s="466"/>
      <c r="C95" s="467"/>
      <c r="D95" s="467"/>
      <c r="E95" s="467"/>
      <c r="F95" s="467"/>
      <c r="G95" s="467"/>
      <c r="H95" s="467"/>
      <c r="I95" s="467"/>
      <c r="J95" s="467"/>
      <c r="K95" s="467"/>
      <c r="L95" s="467"/>
      <c r="M95" s="467"/>
      <c r="N95" s="467"/>
      <c r="O95" s="467"/>
      <c r="P95" s="467"/>
      <c r="Q95" s="467"/>
      <c r="R95" s="467"/>
      <c r="S95" s="467"/>
      <c r="T95" s="467"/>
      <c r="U95" s="467"/>
      <c r="V95" s="468"/>
      <c r="W95" s="468"/>
      <c r="X95" s="468"/>
      <c r="Y95" s="469"/>
      <c r="Z95" s="469"/>
      <c r="AA95" s="469"/>
      <c r="AB95" s="469"/>
      <c r="AC95" s="469"/>
      <c r="AD95" s="470"/>
      <c r="AF95" s="50"/>
    </row>
  </sheetData>
  <mergeCells count="232">
    <mergeCell ref="Y94:AD94"/>
    <mergeCell ref="A95:B95"/>
    <mergeCell ref="C95:D95"/>
    <mergeCell ref="E95:J95"/>
    <mergeCell ref="K95:S95"/>
    <mergeCell ref="T95:U95"/>
    <mergeCell ref="V95:X95"/>
    <mergeCell ref="Y95:AD95"/>
    <mergeCell ref="A94:B94"/>
    <mergeCell ref="C94:D94"/>
    <mergeCell ref="E94:J94"/>
    <mergeCell ref="K94:S94"/>
    <mergeCell ref="T94:U94"/>
    <mergeCell ref="V94:X94"/>
    <mergeCell ref="V92:X92"/>
    <mergeCell ref="Y92:AD92"/>
    <mergeCell ref="A93:B93"/>
    <mergeCell ref="C93:D93"/>
    <mergeCell ref="E93:J93"/>
    <mergeCell ref="K93:S93"/>
    <mergeCell ref="T93:U93"/>
    <mergeCell ref="V93:X93"/>
    <mergeCell ref="Y93:AD93"/>
    <mergeCell ref="A91:E91"/>
    <mergeCell ref="A92:B92"/>
    <mergeCell ref="C92:D92"/>
    <mergeCell ref="E92:J92"/>
    <mergeCell ref="K92:S92"/>
    <mergeCell ref="T92:U92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B81:AD81"/>
    <mergeCell ref="A82:E82"/>
    <mergeCell ref="A83:B83"/>
    <mergeCell ref="F83:J83"/>
    <mergeCell ref="K83:S83"/>
    <mergeCell ref="T83:U83"/>
    <mergeCell ref="V83:W83"/>
    <mergeCell ref="X83:AD83"/>
    <mergeCell ref="A81:B81"/>
    <mergeCell ref="F81:J81"/>
    <mergeCell ref="K81:L81"/>
    <mergeCell ref="N81:O81"/>
    <mergeCell ref="P81:Q81"/>
    <mergeCell ref="R81:AA81"/>
    <mergeCell ref="AB79:AD79"/>
    <mergeCell ref="A80:B80"/>
    <mergeCell ref="F80:J80"/>
    <mergeCell ref="K80:L80"/>
    <mergeCell ref="N80:O80"/>
    <mergeCell ref="P80:Q80"/>
    <mergeCell ref="R80:AA80"/>
    <mergeCell ref="AB80:AD80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R71:AA71"/>
    <mergeCell ref="AB71:AD71"/>
    <mergeCell ref="A72:B72"/>
    <mergeCell ref="F72:J72"/>
    <mergeCell ref="K72:L72"/>
    <mergeCell ref="N72:O72"/>
    <mergeCell ref="P72:Q72"/>
    <mergeCell ref="R72:AA72"/>
    <mergeCell ref="AB72:AD72"/>
    <mergeCell ref="A70:E70"/>
    <mergeCell ref="A71:B71"/>
    <mergeCell ref="F71:J71"/>
    <mergeCell ref="K71:L71"/>
    <mergeCell ref="N71:O71"/>
    <mergeCell ref="P71:Q71"/>
    <mergeCell ref="A68:B68"/>
    <mergeCell ref="F68:M68"/>
    <mergeCell ref="P68:Q68"/>
    <mergeCell ref="R68:U68"/>
    <mergeCell ref="V68:AD68"/>
    <mergeCell ref="A69:B69"/>
    <mergeCell ref="F69:M69"/>
    <mergeCell ref="P69:Q69"/>
    <mergeCell ref="R69:U69"/>
    <mergeCell ref="V69:AD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D4:AD5"/>
    <mergeCell ref="A30:H30"/>
    <mergeCell ref="A57:E57"/>
    <mergeCell ref="A58:M58"/>
    <mergeCell ref="N58:AD58"/>
    <mergeCell ref="A59:B59"/>
    <mergeCell ref="F59:M59"/>
    <mergeCell ref="P59:Q59"/>
    <mergeCell ref="R59:U59"/>
    <mergeCell ref="V59:AD59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5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E012-0DEB-4C35-B400-161461230D21}">
  <sheetPr>
    <pageSetUpPr fitToPage="1"/>
  </sheetPr>
  <dimension ref="A1:AF93"/>
  <sheetViews>
    <sheetView view="pageBreakPreview" zoomScale="70" zoomScaleNormal="72" zoomScaleSheetLayoutView="70" workbookViewId="0">
      <selection activeCell="L23" sqref="L2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385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283" t="s">
        <v>17</v>
      </c>
      <c r="L5" s="283" t="s">
        <v>18</v>
      </c>
      <c r="M5" s="283" t="s">
        <v>19</v>
      </c>
      <c r="N5" s="283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116</v>
      </c>
      <c r="D6" s="52" t="s">
        <v>115</v>
      </c>
      <c r="E6" s="53" t="s">
        <v>373</v>
      </c>
      <c r="F6" s="30" t="s">
        <v>131</v>
      </c>
      <c r="G6" s="12">
        <v>4</v>
      </c>
      <c r="H6" s="13">
        <v>24</v>
      </c>
      <c r="I6" s="31">
        <v>16000</v>
      </c>
      <c r="J6" s="14">
        <v>3080</v>
      </c>
      <c r="K6" s="15">
        <f>L6+13596</f>
        <v>16676</v>
      </c>
      <c r="L6" s="15">
        <f>770*4</f>
        <v>3080</v>
      </c>
      <c r="M6" s="15">
        <f t="shared" ref="M6:M27" si="0">L6-N6</f>
        <v>3080</v>
      </c>
      <c r="N6" s="15">
        <v>0</v>
      </c>
      <c r="O6" s="58">
        <f t="shared" ref="O6:O28" si="1">IF(L6=0,"0",N6/L6)</f>
        <v>0</v>
      </c>
      <c r="P6" s="39">
        <f t="shared" ref="P6:P27" si="2">IF(L6=0,"0",(24-Q6))</f>
        <v>4</v>
      </c>
      <c r="Q6" s="40">
        <f t="shared" ref="Q6:Q27" si="3">SUM(R6:AA6)</f>
        <v>20</v>
      </c>
      <c r="R6" s="7"/>
      <c r="S6" s="6"/>
      <c r="T6" s="16"/>
      <c r="U6" s="16"/>
      <c r="V6" s="17"/>
      <c r="W6" s="5">
        <v>20</v>
      </c>
      <c r="X6" s="16"/>
      <c r="Y6" s="16"/>
      <c r="Z6" s="16"/>
      <c r="AA6" s="18"/>
      <c r="AB6" s="8">
        <f t="shared" ref="AB6:AB27" si="4">IF(J6=0,"0",(L6/J6))</f>
        <v>1</v>
      </c>
      <c r="AC6" s="9">
        <f t="shared" ref="AC6:AC27" si="5">IF(P6=0,"0",(P6/24))</f>
        <v>0.16666666666666666</v>
      </c>
      <c r="AD6" s="10">
        <f t="shared" ref="AD6:AD27" si="6">AC6*AB6*(1-O6)</f>
        <v>0.16666666666666666</v>
      </c>
      <c r="AE6" s="36">
        <f t="shared" ref="AE6:AE27" si="7">$AD$28</f>
        <v>0.40340909090909088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339</v>
      </c>
      <c r="F7" s="30" t="s">
        <v>252</v>
      </c>
      <c r="G7" s="12">
        <v>2</v>
      </c>
      <c r="H7" s="13">
        <v>24</v>
      </c>
      <c r="I7" s="31">
        <v>20000</v>
      </c>
      <c r="J7" s="14">
        <v>12724</v>
      </c>
      <c r="K7" s="15">
        <f>L7+5400+12512+12724</f>
        <v>30636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/>
      <c r="X7" s="16"/>
      <c r="Y7" s="16"/>
      <c r="Z7" s="16"/>
      <c r="AA7" s="18">
        <v>24</v>
      </c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0.40340909090909088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160000</v>
      </c>
      <c r="J8" s="14">
        <v>11592</v>
      </c>
      <c r="K8" s="15">
        <f>L8+8132+2262+5886+10522+11854+11762+11766+11818</f>
        <v>85594</v>
      </c>
      <c r="L8" s="15">
        <f>2853*2+2943*2</f>
        <v>11592</v>
      </c>
      <c r="M8" s="15">
        <f t="shared" si="0"/>
        <v>11592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0.40340909090909088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160000</v>
      </c>
      <c r="J9" s="14">
        <v>11584</v>
      </c>
      <c r="K9" s="15">
        <f>L9+10280+10788+10818+10814</f>
        <v>54284</v>
      </c>
      <c r="L9" s="15">
        <f>2849*2+2943*2</f>
        <v>11584</v>
      </c>
      <c r="M9" s="15">
        <f t="shared" si="0"/>
        <v>11584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0.40340909090909088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163</v>
      </c>
      <c r="D10" s="52"/>
      <c r="E10" s="53" t="s">
        <v>204</v>
      </c>
      <c r="F10" s="30" t="s">
        <v>205</v>
      </c>
      <c r="G10" s="33">
        <v>2</v>
      </c>
      <c r="H10" s="35">
        <v>24</v>
      </c>
      <c r="I10" s="7">
        <v>100000</v>
      </c>
      <c r="J10" s="14">
        <v>10206</v>
      </c>
      <c r="K10" s="15">
        <f>L10</f>
        <v>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/>
      <c r="W10" s="5"/>
      <c r="X10" s="16"/>
      <c r="Y10" s="16"/>
      <c r="Z10" s="16"/>
      <c r="AA10" s="18">
        <v>24</v>
      </c>
      <c r="AB10" s="8">
        <f t="shared" si="4"/>
        <v>0</v>
      </c>
      <c r="AC10" s="9">
        <f t="shared" si="5"/>
        <v>0</v>
      </c>
      <c r="AD10" s="10">
        <f t="shared" si="6"/>
        <v>0</v>
      </c>
      <c r="AE10" s="36">
        <f t="shared" si="7"/>
        <v>0.40340909090909088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115</v>
      </c>
      <c r="E11" s="53" t="s">
        <v>361</v>
      </c>
      <c r="F11" s="30" t="s">
        <v>206</v>
      </c>
      <c r="G11" s="33">
        <v>2</v>
      </c>
      <c r="H11" s="35">
        <v>24</v>
      </c>
      <c r="I11" s="7">
        <v>10000</v>
      </c>
      <c r="J11" s="14">
        <v>8874</v>
      </c>
      <c r="K11" s="15">
        <f>L11+3340</f>
        <v>12214</v>
      </c>
      <c r="L11" s="15">
        <f>2535*2+1902*2</f>
        <v>8874</v>
      </c>
      <c r="M11" s="15">
        <f t="shared" si="0"/>
        <v>8874</v>
      </c>
      <c r="N11" s="15">
        <v>0</v>
      </c>
      <c r="O11" s="58">
        <f t="shared" si="1"/>
        <v>0</v>
      </c>
      <c r="P11" s="39">
        <f t="shared" si="2"/>
        <v>22</v>
      </c>
      <c r="Q11" s="40">
        <f t="shared" si="3"/>
        <v>2</v>
      </c>
      <c r="R11" s="7"/>
      <c r="S11" s="6">
        <v>2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0.91666666666666663</v>
      </c>
      <c r="AD11" s="10">
        <f t="shared" si="6"/>
        <v>0.91666666666666663</v>
      </c>
      <c r="AE11" s="36">
        <f t="shared" si="7"/>
        <v>0.40340909090909088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116</v>
      </c>
      <c r="D12" s="52" t="s">
        <v>122</v>
      </c>
      <c r="E12" s="53" t="s">
        <v>349</v>
      </c>
      <c r="F12" s="30" t="s">
        <v>206</v>
      </c>
      <c r="G12" s="12">
        <v>4</v>
      </c>
      <c r="H12" s="13">
        <v>22</v>
      </c>
      <c r="I12" s="31">
        <v>32000</v>
      </c>
      <c r="J12" s="5">
        <v>3156</v>
      </c>
      <c r="K12" s="15">
        <f>L12+8800+20760</f>
        <v>32716</v>
      </c>
      <c r="L12" s="15">
        <f>789*4</f>
        <v>3156</v>
      </c>
      <c r="M12" s="15">
        <f t="shared" si="0"/>
        <v>3156</v>
      </c>
      <c r="N12" s="15">
        <v>0</v>
      </c>
      <c r="O12" s="58">
        <f t="shared" si="1"/>
        <v>0</v>
      </c>
      <c r="P12" s="39">
        <f t="shared" si="2"/>
        <v>4</v>
      </c>
      <c r="Q12" s="40">
        <f t="shared" si="3"/>
        <v>20</v>
      </c>
      <c r="R12" s="7"/>
      <c r="S12" s="6"/>
      <c r="T12" s="16"/>
      <c r="U12" s="16"/>
      <c r="V12" s="17"/>
      <c r="W12" s="5">
        <v>20</v>
      </c>
      <c r="X12" s="16"/>
      <c r="Y12" s="16"/>
      <c r="Z12" s="16"/>
      <c r="AA12" s="18"/>
      <c r="AB12" s="8">
        <f t="shared" si="4"/>
        <v>1</v>
      </c>
      <c r="AC12" s="9">
        <f t="shared" si="5"/>
        <v>0.16666666666666666</v>
      </c>
      <c r="AD12" s="10">
        <f t="shared" si="6"/>
        <v>0.16666666666666666</v>
      </c>
      <c r="AE12" s="36">
        <f t="shared" si="7"/>
        <v>0.40340909090909088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123</v>
      </c>
      <c r="E13" s="53" t="s">
        <v>179</v>
      </c>
      <c r="F13" s="30" t="s">
        <v>128</v>
      </c>
      <c r="G13" s="33">
        <v>2</v>
      </c>
      <c r="H13" s="35">
        <v>35</v>
      </c>
      <c r="I13" s="7">
        <v>190000</v>
      </c>
      <c r="J13" s="14">
        <v>12182</v>
      </c>
      <c r="K13" s="15">
        <f>L13+6644+12322+12086+12660+12576+12284+12314</f>
        <v>93068</v>
      </c>
      <c r="L13" s="15">
        <f>3022*2+3069*2</f>
        <v>12182</v>
      </c>
      <c r="M13" s="15">
        <f t="shared" si="0"/>
        <v>12182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6"/>
        <v>1</v>
      </c>
      <c r="AE13" s="36">
        <f t="shared" si="7"/>
        <v>0.40340909090909088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112</v>
      </c>
      <c r="D14" s="52" t="s">
        <v>115</v>
      </c>
      <c r="E14" s="53" t="s">
        <v>181</v>
      </c>
      <c r="F14" s="30" t="s">
        <v>171</v>
      </c>
      <c r="G14" s="33">
        <v>1</v>
      </c>
      <c r="H14" s="35">
        <v>50</v>
      </c>
      <c r="I14" s="7">
        <v>500</v>
      </c>
      <c r="J14" s="5">
        <v>608</v>
      </c>
      <c r="K14" s="15">
        <f>L14+290+608</f>
        <v>898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0.40340909090909088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12000</v>
      </c>
      <c r="J15" s="14">
        <v>12356</v>
      </c>
      <c r="K15" s="15">
        <f>L15+12356</f>
        <v>12356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0.40340909090909088</v>
      </c>
      <c r="AF15" s="84">
        <f t="shared" si="8"/>
        <v>10</v>
      </c>
    </row>
    <row r="16" spans="1:32" ht="27" customHeight="1">
      <c r="A16" s="112">
        <v>11</v>
      </c>
      <c r="B16" s="11" t="s">
        <v>57</v>
      </c>
      <c r="C16" s="34" t="s">
        <v>116</v>
      </c>
      <c r="D16" s="52" t="s">
        <v>142</v>
      </c>
      <c r="E16" s="53" t="s">
        <v>360</v>
      </c>
      <c r="F16" s="30" t="s">
        <v>130</v>
      </c>
      <c r="G16" s="12">
        <v>2</v>
      </c>
      <c r="H16" s="13">
        <v>24</v>
      </c>
      <c r="I16" s="7">
        <v>12000</v>
      </c>
      <c r="J16" s="14">
        <v>7719</v>
      </c>
      <c r="K16" s="15">
        <f>L16+8686</f>
        <v>16405</v>
      </c>
      <c r="L16" s="15">
        <f>2659+2530*2</f>
        <v>7719</v>
      </c>
      <c r="M16" s="15">
        <f t="shared" si="0"/>
        <v>7719</v>
      </c>
      <c r="N16" s="15">
        <v>0</v>
      </c>
      <c r="O16" s="58">
        <f t="shared" si="1"/>
        <v>0</v>
      </c>
      <c r="P16" s="39">
        <f t="shared" si="2"/>
        <v>21</v>
      </c>
      <c r="Q16" s="40">
        <f t="shared" si="3"/>
        <v>3</v>
      </c>
      <c r="R16" s="7"/>
      <c r="S16" s="6">
        <v>3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0.875</v>
      </c>
      <c r="AD16" s="10">
        <f t="shared" si="6"/>
        <v>0.875</v>
      </c>
      <c r="AE16" s="36">
        <f t="shared" si="7"/>
        <v>0.40340909090909088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296</v>
      </c>
      <c r="D17" s="52"/>
      <c r="E17" s="53" t="s">
        <v>297</v>
      </c>
      <c r="F17" s="30" t="s">
        <v>298</v>
      </c>
      <c r="G17" s="12">
        <v>4</v>
      </c>
      <c r="H17" s="13">
        <v>24</v>
      </c>
      <c r="I17" s="7">
        <v>40000</v>
      </c>
      <c r="J17" s="14">
        <v>24428</v>
      </c>
      <c r="K17" s="15">
        <f>L17+16652+24516+23120+24488+24556</f>
        <v>137760</v>
      </c>
      <c r="L17" s="15">
        <f>3041*4+3066*4</f>
        <v>24428</v>
      </c>
      <c r="M17" s="15">
        <f t="shared" si="0"/>
        <v>24428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6"/>
        <v>1</v>
      </c>
      <c r="AE17" s="36">
        <f t="shared" si="7"/>
        <v>0.40340909090909088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137</v>
      </c>
      <c r="E18" s="53" t="s">
        <v>191</v>
      </c>
      <c r="F18" s="30" t="s">
        <v>130</v>
      </c>
      <c r="G18" s="33">
        <v>1</v>
      </c>
      <c r="H18" s="35">
        <v>24</v>
      </c>
      <c r="I18" s="7">
        <v>180000</v>
      </c>
      <c r="J18" s="14">
        <v>9654</v>
      </c>
      <c r="K18" s="15">
        <f>L18+9952+11100+11616+11336+11468+11654+10384+11002+11590+11484+11300</f>
        <v>132540</v>
      </c>
      <c r="L18" s="15">
        <f>2956*2+1871*2</f>
        <v>9654</v>
      </c>
      <c r="M18" s="15">
        <f t="shared" si="0"/>
        <v>9654</v>
      </c>
      <c r="N18" s="15">
        <v>0</v>
      </c>
      <c r="O18" s="58">
        <f t="shared" si="1"/>
        <v>0</v>
      </c>
      <c r="P18" s="39">
        <f t="shared" si="2"/>
        <v>22</v>
      </c>
      <c r="Q18" s="40">
        <f t="shared" si="3"/>
        <v>2</v>
      </c>
      <c r="R18" s="7"/>
      <c r="S18" s="6">
        <v>2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0.91666666666666663</v>
      </c>
      <c r="AD18" s="10">
        <f t="shared" si="6"/>
        <v>0.91666666666666663</v>
      </c>
      <c r="AE18" s="36">
        <f t="shared" si="7"/>
        <v>0.40340909090909088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138</v>
      </c>
      <c r="D19" s="52" t="s">
        <v>123</v>
      </c>
      <c r="E19" s="53" t="s">
        <v>380</v>
      </c>
      <c r="F19" s="30" t="s">
        <v>139</v>
      </c>
      <c r="G19" s="33">
        <v>2</v>
      </c>
      <c r="H19" s="35">
        <v>24</v>
      </c>
      <c r="I19" s="7">
        <v>20000</v>
      </c>
      <c r="J19" s="14">
        <v>9274</v>
      </c>
      <c r="K19" s="15">
        <f>L19</f>
        <v>9274</v>
      </c>
      <c r="L19" s="15">
        <f>1706*2+2931*2</f>
        <v>9274</v>
      </c>
      <c r="M19" s="15">
        <f t="shared" si="0"/>
        <v>9274</v>
      </c>
      <c r="N19" s="15">
        <v>0</v>
      </c>
      <c r="O19" s="58">
        <f t="shared" si="1"/>
        <v>0</v>
      </c>
      <c r="P19" s="39">
        <f t="shared" si="2"/>
        <v>20</v>
      </c>
      <c r="Q19" s="40">
        <f t="shared" si="3"/>
        <v>4</v>
      </c>
      <c r="R19" s="7"/>
      <c r="S19" s="6"/>
      <c r="T19" s="16">
        <v>4</v>
      </c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0.83333333333333337</v>
      </c>
      <c r="AD19" s="10">
        <f t="shared" si="6"/>
        <v>0.83333333333333337</v>
      </c>
      <c r="AE19" s="36">
        <f t="shared" si="7"/>
        <v>0.40340909090909088</v>
      </c>
      <c r="AF19" s="84">
        <f t="shared" si="8"/>
        <v>14</v>
      </c>
    </row>
    <row r="20" spans="1:32" ht="27" customHeight="1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206</v>
      </c>
      <c r="G20" s="12">
        <v>2</v>
      </c>
      <c r="H20" s="13">
        <v>24</v>
      </c>
      <c r="I20" s="7">
        <v>230000</v>
      </c>
      <c r="J20" s="14">
        <v>10630</v>
      </c>
      <c r="K20" s="15">
        <f>L20+7008+11154+9077+8768+10676+10588+2521+7242+10236+10216+10614+10620+10632+10760+10206+10892+10136+10692+10896+9992</f>
        <v>203556</v>
      </c>
      <c r="L20" s="15">
        <f>2727*2+2588*2</f>
        <v>10630</v>
      </c>
      <c r="M20" s="15">
        <f t="shared" si="0"/>
        <v>10630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0.40340909090909088</v>
      </c>
      <c r="AF20" s="84">
        <f t="shared" si="8"/>
        <v>15</v>
      </c>
    </row>
    <row r="21" spans="1:32" ht="26.25" customHeight="1">
      <c r="A21" s="96">
        <v>16</v>
      </c>
      <c r="B21" s="11" t="s">
        <v>57</v>
      </c>
      <c r="C21" s="11" t="s">
        <v>113</v>
      </c>
      <c r="D21" s="52"/>
      <c r="E21" s="53" t="s">
        <v>299</v>
      </c>
      <c r="F21" s="12" t="s">
        <v>114</v>
      </c>
      <c r="G21" s="12">
        <v>3</v>
      </c>
      <c r="H21" s="35">
        <v>20</v>
      </c>
      <c r="I21" s="7">
        <v>1000000</v>
      </c>
      <c r="J21" s="14">
        <v>56500</v>
      </c>
      <c r="K21" s="15">
        <f>L21+56500</f>
        <v>56500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0.40340909090909088</v>
      </c>
      <c r="AF21" s="84">
        <f t="shared" si="8"/>
        <v>16</v>
      </c>
    </row>
    <row r="22" spans="1:32" ht="18.75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0.40340909090909088</v>
      </c>
      <c r="AF22" s="84">
        <f t="shared" si="8"/>
        <v>31</v>
      </c>
    </row>
    <row r="23" spans="1:32" ht="18.75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0.40340909090909088</v>
      </c>
      <c r="AF23" s="84">
        <f t="shared" si="8"/>
        <v>32</v>
      </c>
    </row>
    <row r="24" spans="1:32" ht="18.75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3244</v>
      </c>
      <c r="K24" s="15">
        <f>L24+4387+7770+5806+7905+7479+7369+7360+2397+6904+7208+7013+6976+6992+2652+6495+7026+7051+7084+4297+6519+7042+3244</f>
        <v>136976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20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0.40340909090909088</v>
      </c>
      <c r="AF24" s="84">
        <f t="shared" si="8"/>
        <v>33</v>
      </c>
    </row>
    <row r="25" spans="1:32" ht="28.5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0.40340909090909088</v>
      </c>
      <c r="AF25" s="84">
        <f t="shared" si="8"/>
        <v>34</v>
      </c>
    </row>
    <row r="26" spans="1:32" ht="28.5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0.40340909090909088</v>
      </c>
      <c r="AF26" s="84">
        <f t="shared" si="8"/>
        <v>35</v>
      </c>
    </row>
    <row r="27" spans="1:32" ht="19.5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700000</v>
      </c>
      <c r="J27" s="14">
        <v>89792</v>
      </c>
      <c r="K27" s="15">
        <f>L27+326528+448864+89792</f>
        <v>865184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0.40340909090909088</v>
      </c>
      <c r="AF27" s="84">
        <f t="shared" si="8"/>
        <v>36</v>
      </c>
    </row>
    <row r="28" spans="1:32" ht="19.5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9">SUM(I6:I27)</f>
        <v>3502500</v>
      </c>
      <c r="J28" s="19">
        <f t="shared" si="9"/>
        <v>319191</v>
      </c>
      <c r="K28" s="20">
        <f t="shared" si="9"/>
        <v>2436281</v>
      </c>
      <c r="L28" s="21">
        <f t="shared" si="9"/>
        <v>112173</v>
      </c>
      <c r="M28" s="20">
        <f t="shared" si="9"/>
        <v>112173</v>
      </c>
      <c r="N28" s="21">
        <f t="shared" si="9"/>
        <v>0</v>
      </c>
      <c r="O28" s="41">
        <f t="shared" si="1"/>
        <v>0</v>
      </c>
      <c r="P28" s="42">
        <f t="shared" ref="P28:AA28" si="10">SUM(P6:P27)</f>
        <v>213</v>
      </c>
      <c r="Q28" s="43">
        <f t="shared" si="10"/>
        <v>315</v>
      </c>
      <c r="R28" s="23">
        <f t="shared" si="10"/>
        <v>0</v>
      </c>
      <c r="S28" s="24">
        <f t="shared" si="10"/>
        <v>7</v>
      </c>
      <c r="T28" s="24">
        <f t="shared" si="10"/>
        <v>4</v>
      </c>
      <c r="U28" s="24">
        <f t="shared" si="10"/>
        <v>0</v>
      </c>
      <c r="V28" s="25">
        <f t="shared" si="10"/>
        <v>72</v>
      </c>
      <c r="W28" s="26">
        <f t="shared" si="10"/>
        <v>184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48</v>
      </c>
      <c r="AB28" s="28">
        <f>AVERAGE(AB6:AB27)</f>
        <v>0.55000000000000004</v>
      </c>
      <c r="AC28" s="4">
        <f>AVERAGE(AC6:AC27)</f>
        <v>0.40340909090909088</v>
      </c>
      <c r="AD28" s="4">
        <f>AVERAGE(AD6:AD27)</f>
        <v>0.40340909090909088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386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389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282" t="s">
        <v>46</v>
      </c>
      <c r="D57" s="282" t="s">
        <v>47</v>
      </c>
      <c r="E57" s="282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282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43" t="s">
        <v>116</v>
      </c>
      <c r="B58" s="533"/>
      <c r="C58" s="285" t="s">
        <v>201</v>
      </c>
      <c r="D58" s="285" t="s">
        <v>115</v>
      </c>
      <c r="E58" s="285" t="s">
        <v>361</v>
      </c>
      <c r="F58" s="530" t="s">
        <v>120</v>
      </c>
      <c r="G58" s="531"/>
      <c r="H58" s="531"/>
      <c r="I58" s="531"/>
      <c r="J58" s="531"/>
      <c r="K58" s="531"/>
      <c r="L58" s="531"/>
      <c r="M58" s="532"/>
      <c r="N58" s="281" t="s">
        <v>116</v>
      </c>
      <c r="O58" s="275" t="s">
        <v>210</v>
      </c>
      <c r="P58" s="544" t="s">
        <v>142</v>
      </c>
      <c r="Q58" s="545"/>
      <c r="R58" s="544" t="s">
        <v>360</v>
      </c>
      <c r="S58" s="546"/>
      <c r="T58" s="546"/>
      <c r="U58" s="545"/>
      <c r="V58" s="517" t="s">
        <v>120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43" t="s">
        <v>116</v>
      </c>
      <c r="B59" s="533"/>
      <c r="C59" s="285" t="s">
        <v>210</v>
      </c>
      <c r="D59" s="285" t="s">
        <v>142</v>
      </c>
      <c r="E59" s="285" t="s">
        <v>360</v>
      </c>
      <c r="F59" s="530" t="s">
        <v>282</v>
      </c>
      <c r="G59" s="531"/>
      <c r="H59" s="531"/>
      <c r="I59" s="531"/>
      <c r="J59" s="531"/>
      <c r="K59" s="531"/>
      <c r="L59" s="531"/>
      <c r="M59" s="532"/>
      <c r="N59" s="284" t="s">
        <v>138</v>
      </c>
      <c r="O59" s="286" t="s">
        <v>287</v>
      </c>
      <c r="P59" s="544" t="s">
        <v>115</v>
      </c>
      <c r="Q59" s="545"/>
      <c r="R59" s="544" t="s">
        <v>381</v>
      </c>
      <c r="S59" s="546"/>
      <c r="T59" s="546"/>
      <c r="U59" s="545"/>
      <c r="V59" s="517" t="s">
        <v>120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112</v>
      </c>
      <c r="B60" s="533"/>
      <c r="C60" s="285" t="s">
        <v>167</v>
      </c>
      <c r="D60" s="285" t="s">
        <v>137</v>
      </c>
      <c r="E60" s="285" t="s">
        <v>191</v>
      </c>
      <c r="F60" s="530" t="s">
        <v>120</v>
      </c>
      <c r="G60" s="531"/>
      <c r="H60" s="531"/>
      <c r="I60" s="531"/>
      <c r="J60" s="531"/>
      <c r="K60" s="531"/>
      <c r="L60" s="531"/>
      <c r="M60" s="532"/>
      <c r="N60" s="281" t="s">
        <v>138</v>
      </c>
      <c r="O60" s="275" t="s">
        <v>391</v>
      </c>
      <c r="P60" s="544" t="s">
        <v>115</v>
      </c>
      <c r="Q60" s="545"/>
      <c r="R60" s="544" t="s">
        <v>390</v>
      </c>
      <c r="S60" s="546"/>
      <c r="T60" s="546"/>
      <c r="U60" s="545"/>
      <c r="V60" s="517" t="s">
        <v>120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138</v>
      </c>
      <c r="B61" s="533"/>
      <c r="C61" s="278" t="s">
        <v>161</v>
      </c>
      <c r="D61" s="278" t="s">
        <v>135</v>
      </c>
      <c r="E61" s="278" t="s">
        <v>387</v>
      </c>
      <c r="F61" s="530" t="s">
        <v>124</v>
      </c>
      <c r="G61" s="531"/>
      <c r="H61" s="531"/>
      <c r="I61" s="531"/>
      <c r="J61" s="531"/>
      <c r="K61" s="531"/>
      <c r="L61" s="531"/>
      <c r="M61" s="532"/>
      <c r="N61" s="281"/>
      <c r="O61" s="275"/>
      <c r="P61" s="544"/>
      <c r="Q61" s="545"/>
      <c r="R61" s="544"/>
      <c r="S61" s="546"/>
      <c r="T61" s="546"/>
      <c r="U61" s="545"/>
      <c r="V61" s="517"/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 t="s">
        <v>138</v>
      </c>
      <c r="B62" s="533"/>
      <c r="C62" s="278" t="s">
        <v>161</v>
      </c>
      <c r="D62" s="278" t="s">
        <v>115</v>
      </c>
      <c r="E62" s="278" t="s">
        <v>381</v>
      </c>
      <c r="F62" s="530" t="s">
        <v>388</v>
      </c>
      <c r="G62" s="531"/>
      <c r="H62" s="531"/>
      <c r="I62" s="531"/>
      <c r="J62" s="531"/>
      <c r="K62" s="531"/>
      <c r="L62" s="531"/>
      <c r="M62" s="532"/>
      <c r="N62" s="281"/>
      <c r="O62" s="275"/>
      <c r="P62" s="544"/>
      <c r="Q62" s="545"/>
      <c r="R62" s="544"/>
      <c r="S62" s="546"/>
      <c r="T62" s="546"/>
      <c r="U62" s="545"/>
      <c r="V62" s="517"/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/>
      <c r="B63" s="533"/>
      <c r="C63" s="278"/>
      <c r="D63" s="278"/>
      <c r="E63" s="278"/>
      <c r="F63" s="530"/>
      <c r="G63" s="531"/>
      <c r="H63" s="531"/>
      <c r="I63" s="531"/>
      <c r="J63" s="531"/>
      <c r="K63" s="531"/>
      <c r="L63" s="531"/>
      <c r="M63" s="532"/>
      <c r="N63" s="281"/>
      <c r="O63" s="275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278"/>
      <c r="D64" s="278"/>
      <c r="E64" s="278"/>
      <c r="F64" s="530"/>
      <c r="G64" s="531"/>
      <c r="H64" s="531"/>
      <c r="I64" s="531"/>
      <c r="J64" s="531"/>
      <c r="K64" s="531"/>
      <c r="L64" s="531"/>
      <c r="M64" s="532"/>
      <c r="N64" s="281"/>
      <c r="O64" s="275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277"/>
      <c r="D65" s="277"/>
      <c r="E65" s="278"/>
      <c r="F65" s="530"/>
      <c r="G65" s="531"/>
      <c r="H65" s="531"/>
      <c r="I65" s="531"/>
      <c r="J65" s="531"/>
      <c r="K65" s="531"/>
      <c r="L65" s="531"/>
      <c r="M65" s="532"/>
      <c r="N65" s="281"/>
      <c r="O65" s="275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277"/>
      <c r="D66" s="277"/>
      <c r="E66" s="278"/>
      <c r="F66" s="530"/>
      <c r="G66" s="531"/>
      <c r="H66" s="531"/>
      <c r="I66" s="531"/>
      <c r="J66" s="531"/>
      <c r="K66" s="531"/>
      <c r="L66" s="531"/>
      <c r="M66" s="532"/>
      <c r="N66" s="281"/>
      <c r="O66" s="275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279"/>
      <c r="D67" s="280"/>
      <c r="E67" s="279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392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276" t="s">
        <v>2</v>
      </c>
      <c r="D69" s="276" t="s">
        <v>37</v>
      </c>
      <c r="E69" s="276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276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 t="s">
        <v>393</v>
      </c>
      <c r="D70" s="271"/>
      <c r="E70" s="274"/>
      <c r="F70" s="518" t="s">
        <v>394</v>
      </c>
      <c r="G70" s="519"/>
      <c r="H70" s="519"/>
      <c r="I70" s="519"/>
      <c r="J70" s="520"/>
      <c r="K70" s="504" t="s">
        <v>395</v>
      </c>
      <c r="L70" s="504"/>
      <c r="M70" s="51" t="s">
        <v>396</v>
      </c>
      <c r="N70" s="515" t="s">
        <v>397</v>
      </c>
      <c r="O70" s="515"/>
      <c r="P70" s="516">
        <v>50</v>
      </c>
      <c r="Q70" s="516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/>
      <c r="D71" s="271"/>
      <c r="E71" s="274"/>
      <c r="F71" s="518"/>
      <c r="G71" s="519"/>
      <c r="H71" s="519"/>
      <c r="I71" s="519"/>
      <c r="J71" s="520"/>
      <c r="K71" s="504"/>
      <c r="L71" s="504"/>
      <c r="M71" s="51"/>
      <c r="N71" s="515"/>
      <c r="O71" s="515"/>
      <c r="P71" s="516"/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/>
      <c r="D72" s="271"/>
      <c r="E72" s="274"/>
      <c r="F72" s="518"/>
      <c r="G72" s="519"/>
      <c r="H72" s="519"/>
      <c r="I72" s="519"/>
      <c r="J72" s="520"/>
      <c r="K72" s="504"/>
      <c r="L72" s="504"/>
      <c r="M72" s="51"/>
      <c r="N72" s="515"/>
      <c r="O72" s="515"/>
      <c r="P72" s="516"/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/>
      <c r="D73" s="271"/>
      <c r="E73" s="274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/>
      <c r="D74" s="271"/>
      <c r="E74" s="274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/>
      <c r="D75" s="271"/>
      <c r="E75" s="274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/>
      <c r="D76" s="271"/>
      <c r="E76" s="274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271"/>
      <c r="E77" s="274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271"/>
      <c r="E78" s="274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271"/>
      <c r="E79" s="274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398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273" t="s">
        <v>2</v>
      </c>
      <c r="D81" s="273" t="s">
        <v>37</v>
      </c>
      <c r="E81" s="273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272"/>
      <c r="D82" s="272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271"/>
      <c r="D83" s="271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1">A83+1</f>
        <v>3</v>
      </c>
      <c r="B84" s="472"/>
      <c r="C84" s="271"/>
      <c r="D84" s="271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1"/>
        <v>4</v>
      </c>
      <c r="B85" s="472"/>
      <c r="C85" s="271"/>
      <c r="D85" s="271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1"/>
        <v>5</v>
      </c>
      <c r="B86" s="472"/>
      <c r="C86" s="271"/>
      <c r="D86" s="271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1"/>
        <v>6</v>
      </c>
      <c r="B87" s="472"/>
      <c r="C87" s="271"/>
      <c r="D87" s="271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1"/>
        <v>7</v>
      </c>
      <c r="B88" s="472"/>
      <c r="C88" s="271"/>
      <c r="D88" s="271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399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 t="s">
        <v>129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3" max="29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7134-186F-4E67-9D08-E488EAE9DACC}">
  <sheetPr>
    <pageSetUpPr fitToPage="1"/>
  </sheetPr>
  <dimension ref="A1:AF93"/>
  <sheetViews>
    <sheetView view="pageBreakPreview" zoomScale="70" zoomScaleNormal="72" zoomScaleSheetLayoutView="70" workbookViewId="0">
      <selection activeCell="K85" sqref="K85:S85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400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299" t="s">
        <v>17</v>
      </c>
      <c r="L5" s="299" t="s">
        <v>18</v>
      </c>
      <c r="M5" s="299" t="s">
        <v>19</v>
      </c>
      <c r="N5" s="29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116</v>
      </c>
      <c r="D6" s="52" t="s">
        <v>115</v>
      </c>
      <c r="E6" s="53" t="s">
        <v>373</v>
      </c>
      <c r="F6" s="30" t="s">
        <v>131</v>
      </c>
      <c r="G6" s="12">
        <v>4</v>
      </c>
      <c r="H6" s="13">
        <v>24</v>
      </c>
      <c r="I6" s="31">
        <v>16000</v>
      </c>
      <c r="J6" s="14">
        <v>3080</v>
      </c>
      <c r="K6" s="15">
        <f>L6+13596+3080</f>
        <v>16676</v>
      </c>
      <c r="L6" s="15"/>
      <c r="M6" s="15">
        <f t="shared" ref="M6:M27" si="0">L6-N6</f>
        <v>0</v>
      </c>
      <c r="N6" s="15">
        <v>0</v>
      </c>
      <c r="O6" s="58" t="str">
        <f t="shared" ref="O6:O28" si="1">IF(L6=0,"0",N6/L6)</f>
        <v>0</v>
      </c>
      <c r="P6" s="39" t="str">
        <f t="shared" ref="P6:P27" si="2">IF(L6=0,"0",(24-Q6))</f>
        <v>0</v>
      </c>
      <c r="Q6" s="40">
        <f t="shared" ref="Q6:Q27" si="3">SUM(R6:AA6)</f>
        <v>24</v>
      </c>
      <c r="R6" s="7"/>
      <c r="S6" s="6"/>
      <c r="T6" s="16"/>
      <c r="U6" s="16"/>
      <c r="V6" s="17"/>
      <c r="W6" s="5"/>
      <c r="X6" s="16"/>
      <c r="Y6" s="16"/>
      <c r="Z6" s="16"/>
      <c r="AA6" s="18">
        <v>24</v>
      </c>
      <c r="AB6" s="8">
        <f t="shared" ref="AB6:AB27" si="4">IF(J6=0,"0",(L6/J6))</f>
        <v>0</v>
      </c>
      <c r="AC6" s="9">
        <f t="shared" ref="AC6:AC27" si="5">IF(P6=0,"0",(P6/24))</f>
        <v>0</v>
      </c>
      <c r="AD6" s="10">
        <f t="shared" ref="AD6:AD27" si="6">AC6*AB6*(1-O6)</f>
        <v>0</v>
      </c>
      <c r="AE6" s="36">
        <f t="shared" ref="AE6:AE27" si="7">$AD$28</f>
        <v>0.4224467755727892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339</v>
      </c>
      <c r="F7" s="30" t="s">
        <v>252</v>
      </c>
      <c r="G7" s="12">
        <v>2</v>
      </c>
      <c r="H7" s="13">
        <v>24</v>
      </c>
      <c r="I7" s="31">
        <v>20000</v>
      </c>
      <c r="J7" s="14">
        <v>12724</v>
      </c>
      <c r="K7" s="15">
        <f>L7+5400+12512+12724</f>
        <v>30636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0.4224467755727892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160000</v>
      </c>
      <c r="J8" s="14">
        <v>5898</v>
      </c>
      <c r="K8" s="15">
        <f>L8+8132+2262+5886+10522+11854+11762+11766+11818+11592</f>
        <v>91492</v>
      </c>
      <c r="L8" s="15">
        <f>2949*2</f>
        <v>5898</v>
      </c>
      <c r="M8" s="15">
        <f t="shared" si="0"/>
        <v>5898</v>
      </c>
      <c r="N8" s="15">
        <v>0</v>
      </c>
      <c r="O8" s="58">
        <f t="shared" si="1"/>
        <v>0</v>
      </c>
      <c r="P8" s="39">
        <f t="shared" si="2"/>
        <v>14</v>
      </c>
      <c r="Q8" s="40">
        <f t="shared" si="3"/>
        <v>10</v>
      </c>
      <c r="R8" s="7"/>
      <c r="S8" s="6">
        <v>10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0.58333333333333337</v>
      </c>
      <c r="AD8" s="10">
        <f t="shared" si="6"/>
        <v>0.58333333333333337</v>
      </c>
      <c r="AE8" s="36">
        <f t="shared" si="7"/>
        <v>0.4224467755727892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160000</v>
      </c>
      <c r="J9" s="14">
        <v>6366</v>
      </c>
      <c r="K9" s="15">
        <f>L9+10280+10788+10818+10814+11584</f>
        <v>60650</v>
      </c>
      <c r="L9" s="15">
        <f>3183*2</f>
        <v>6366</v>
      </c>
      <c r="M9" s="15">
        <f t="shared" si="0"/>
        <v>6366</v>
      </c>
      <c r="N9" s="15">
        <v>0</v>
      </c>
      <c r="O9" s="58">
        <f t="shared" si="1"/>
        <v>0</v>
      </c>
      <c r="P9" s="39">
        <f t="shared" si="2"/>
        <v>17</v>
      </c>
      <c r="Q9" s="40">
        <f t="shared" si="3"/>
        <v>7</v>
      </c>
      <c r="R9" s="7">
        <v>7</v>
      </c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0.70833333333333337</v>
      </c>
      <c r="AD9" s="10">
        <f t="shared" si="6"/>
        <v>0.70833333333333337</v>
      </c>
      <c r="AE9" s="36">
        <f t="shared" si="7"/>
        <v>0.4224467755727892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163</v>
      </c>
      <c r="D10" s="52"/>
      <c r="E10" s="53" t="s">
        <v>204</v>
      </c>
      <c r="F10" s="30" t="s">
        <v>205</v>
      </c>
      <c r="G10" s="33">
        <v>2</v>
      </c>
      <c r="H10" s="35">
        <v>24</v>
      </c>
      <c r="I10" s="7">
        <v>100000</v>
      </c>
      <c r="J10" s="14">
        <v>10206</v>
      </c>
      <c r="K10" s="15">
        <f>L10</f>
        <v>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/>
      <c r="W10" s="5"/>
      <c r="X10" s="16"/>
      <c r="Y10" s="16"/>
      <c r="Z10" s="16"/>
      <c r="AA10" s="18">
        <v>24</v>
      </c>
      <c r="AB10" s="8">
        <f t="shared" si="4"/>
        <v>0</v>
      </c>
      <c r="AC10" s="9">
        <f t="shared" si="5"/>
        <v>0</v>
      </c>
      <c r="AD10" s="10">
        <f t="shared" si="6"/>
        <v>0</v>
      </c>
      <c r="AE10" s="36">
        <f t="shared" si="7"/>
        <v>0.4224467755727892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115</v>
      </c>
      <c r="E11" s="53" t="s">
        <v>361</v>
      </c>
      <c r="F11" s="30" t="s">
        <v>206</v>
      </c>
      <c r="G11" s="33">
        <v>2</v>
      </c>
      <c r="H11" s="35">
        <v>24</v>
      </c>
      <c r="I11" s="7">
        <v>10000</v>
      </c>
      <c r="J11" s="14">
        <v>10400</v>
      </c>
      <c r="K11" s="15">
        <f>L11+3340+8874</f>
        <v>22614</v>
      </c>
      <c r="L11" s="15">
        <f>2727*2+2473*2</f>
        <v>10400</v>
      </c>
      <c r="M11" s="15">
        <f t="shared" si="0"/>
        <v>10400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si="6"/>
        <v>1</v>
      </c>
      <c r="AE11" s="36">
        <f t="shared" si="7"/>
        <v>0.4224467755727892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138</v>
      </c>
      <c r="D12" s="52" t="s">
        <v>115</v>
      </c>
      <c r="E12" s="53" t="s">
        <v>381</v>
      </c>
      <c r="F12" s="30" t="s">
        <v>139</v>
      </c>
      <c r="G12" s="12">
        <v>2</v>
      </c>
      <c r="H12" s="13">
        <v>22</v>
      </c>
      <c r="I12" s="31">
        <v>20000</v>
      </c>
      <c r="J12" s="5">
        <v>3156</v>
      </c>
      <c r="K12" s="15">
        <f>L12</f>
        <v>0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>
        <v>24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0</v>
      </c>
      <c r="AC12" s="9">
        <f t="shared" si="5"/>
        <v>0</v>
      </c>
      <c r="AD12" s="10">
        <f t="shared" si="6"/>
        <v>0</v>
      </c>
      <c r="AE12" s="36">
        <f t="shared" si="7"/>
        <v>0.4224467755727892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123</v>
      </c>
      <c r="E13" s="53" t="s">
        <v>179</v>
      </c>
      <c r="F13" s="30" t="s">
        <v>128</v>
      </c>
      <c r="G13" s="33">
        <v>2</v>
      </c>
      <c r="H13" s="35">
        <v>35</v>
      </c>
      <c r="I13" s="7">
        <v>190000</v>
      </c>
      <c r="J13" s="14">
        <v>11830</v>
      </c>
      <c r="K13" s="15">
        <f>L13+6644+12322+12086+12660+12576+12284+12314+12182</f>
        <v>104898</v>
      </c>
      <c r="L13" s="15">
        <f>2800*2+3115*2</f>
        <v>11830</v>
      </c>
      <c r="M13" s="15">
        <f t="shared" si="0"/>
        <v>11830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6"/>
        <v>1</v>
      </c>
      <c r="AE13" s="36">
        <f t="shared" si="7"/>
        <v>0.4224467755727892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112</v>
      </c>
      <c r="D14" s="52" t="s">
        <v>115</v>
      </c>
      <c r="E14" s="53" t="s">
        <v>181</v>
      </c>
      <c r="F14" s="30" t="s">
        <v>171</v>
      </c>
      <c r="G14" s="33">
        <v>1</v>
      </c>
      <c r="H14" s="35">
        <v>50</v>
      </c>
      <c r="I14" s="7">
        <v>500</v>
      </c>
      <c r="J14" s="5">
        <v>608</v>
      </c>
      <c r="K14" s="15">
        <f>L14+290+608</f>
        <v>898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0.4224467755727892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12000</v>
      </c>
      <c r="J15" s="14">
        <v>12356</v>
      </c>
      <c r="K15" s="15">
        <f>L15+12356</f>
        <v>12356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0.4224467755727892</v>
      </c>
      <c r="AF15" s="84">
        <f t="shared" si="8"/>
        <v>10</v>
      </c>
    </row>
    <row r="16" spans="1:32" ht="27" customHeight="1">
      <c r="A16" s="112">
        <v>11</v>
      </c>
      <c r="B16" s="11" t="s">
        <v>57</v>
      </c>
      <c r="C16" s="34" t="s">
        <v>116</v>
      </c>
      <c r="D16" s="52" t="s">
        <v>142</v>
      </c>
      <c r="E16" s="53" t="s">
        <v>360</v>
      </c>
      <c r="F16" s="30" t="s">
        <v>130</v>
      </c>
      <c r="G16" s="12">
        <v>2</v>
      </c>
      <c r="H16" s="13">
        <v>24</v>
      </c>
      <c r="I16" s="7">
        <v>12000</v>
      </c>
      <c r="J16" s="14">
        <v>4588</v>
      </c>
      <c r="K16" s="15">
        <f>L16+8686+7719</f>
        <v>20993</v>
      </c>
      <c r="L16" s="15">
        <f>2000+1488+550*2</f>
        <v>4588</v>
      </c>
      <c r="M16" s="15">
        <f t="shared" si="0"/>
        <v>4588</v>
      </c>
      <c r="N16" s="15">
        <v>0</v>
      </c>
      <c r="O16" s="58">
        <f t="shared" si="1"/>
        <v>0</v>
      </c>
      <c r="P16" s="39">
        <f t="shared" si="2"/>
        <v>15</v>
      </c>
      <c r="Q16" s="40">
        <f t="shared" si="3"/>
        <v>9</v>
      </c>
      <c r="R16" s="7"/>
      <c r="S16" s="6">
        <v>9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0.625</v>
      </c>
      <c r="AD16" s="10">
        <f t="shared" si="6"/>
        <v>0.625</v>
      </c>
      <c r="AE16" s="36">
        <f t="shared" si="7"/>
        <v>0.4224467755727892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296</v>
      </c>
      <c r="D17" s="52"/>
      <c r="E17" s="53" t="s">
        <v>297</v>
      </c>
      <c r="F17" s="30" t="s">
        <v>298</v>
      </c>
      <c r="G17" s="12">
        <v>4</v>
      </c>
      <c r="H17" s="13">
        <v>24</v>
      </c>
      <c r="I17" s="7">
        <v>40000</v>
      </c>
      <c r="J17" s="14">
        <v>23372</v>
      </c>
      <c r="K17" s="15">
        <f>L17+16652+24516+23120+24488+24556+24428</f>
        <v>161132</v>
      </c>
      <c r="L17" s="15">
        <f>3111*4+2732*4</f>
        <v>23372</v>
      </c>
      <c r="M17" s="15">
        <f t="shared" si="0"/>
        <v>23372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6"/>
        <v>1</v>
      </c>
      <c r="AE17" s="36">
        <f t="shared" si="7"/>
        <v>0.4224467755727892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137</v>
      </c>
      <c r="E18" s="53" t="s">
        <v>191</v>
      </c>
      <c r="F18" s="30" t="s">
        <v>130</v>
      </c>
      <c r="G18" s="33">
        <v>1</v>
      </c>
      <c r="H18" s="35">
        <v>24</v>
      </c>
      <c r="I18" s="7">
        <v>180000</v>
      </c>
      <c r="J18" s="14">
        <v>6166</v>
      </c>
      <c r="K18" s="15">
        <f>L18+9952+11100+11616+11336+11468+11654+10384+11002+11590+11484+11300+9654</f>
        <v>138726</v>
      </c>
      <c r="L18" s="15">
        <f>2432*2+661*2</f>
        <v>6186</v>
      </c>
      <c r="M18" s="15">
        <f t="shared" si="0"/>
        <v>6186</v>
      </c>
      <c r="N18" s="15">
        <v>0</v>
      </c>
      <c r="O18" s="58">
        <f t="shared" si="1"/>
        <v>0</v>
      </c>
      <c r="P18" s="39">
        <f t="shared" si="2"/>
        <v>16</v>
      </c>
      <c r="Q18" s="40">
        <f t="shared" si="3"/>
        <v>8</v>
      </c>
      <c r="R18" s="7"/>
      <c r="S18" s="6">
        <v>8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1.0032435939020434</v>
      </c>
      <c r="AC18" s="9">
        <f t="shared" si="5"/>
        <v>0.66666666666666663</v>
      </c>
      <c r="AD18" s="10">
        <f t="shared" si="6"/>
        <v>0.66882906260136221</v>
      </c>
      <c r="AE18" s="36">
        <f t="shared" si="7"/>
        <v>0.4224467755727892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138</v>
      </c>
      <c r="D19" s="52" t="s">
        <v>123</v>
      </c>
      <c r="E19" s="53" t="s">
        <v>380</v>
      </c>
      <c r="F19" s="30" t="s">
        <v>139</v>
      </c>
      <c r="G19" s="33">
        <v>2</v>
      </c>
      <c r="H19" s="35">
        <v>24</v>
      </c>
      <c r="I19" s="7">
        <v>20000</v>
      </c>
      <c r="J19" s="14">
        <v>6870</v>
      </c>
      <c r="K19" s="15">
        <f>L19+9274</f>
        <v>16144</v>
      </c>
      <c r="L19" s="15">
        <f>2774*2+661*2</f>
        <v>6870</v>
      </c>
      <c r="M19" s="15">
        <f t="shared" si="0"/>
        <v>6870</v>
      </c>
      <c r="N19" s="15">
        <v>0</v>
      </c>
      <c r="O19" s="58">
        <f t="shared" si="1"/>
        <v>0</v>
      </c>
      <c r="P19" s="39">
        <f t="shared" si="2"/>
        <v>18</v>
      </c>
      <c r="Q19" s="40">
        <f t="shared" si="3"/>
        <v>6</v>
      </c>
      <c r="R19" s="7"/>
      <c r="S19" s="6">
        <v>6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0.75</v>
      </c>
      <c r="AD19" s="10">
        <f t="shared" si="6"/>
        <v>0.75</v>
      </c>
      <c r="AE19" s="36">
        <f t="shared" si="7"/>
        <v>0.4224467755727892</v>
      </c>
      <c r="AF19" s="84">
        <f t="shared" si="8"/>
        <v>14</v>
      </c>
    </row>
    <row r="20" spans="1:32" ht="27" customHeight="1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206</v>
      </c>
      <c r="G20" s="12">
        <v>2</v>
      </c>
      <c r="H20" s="13">
        <v>24</v>
      </c>
      <c r="I20" s="7">
        <v>230000</v>
      </c>
      <c r="J20" s="14">
        <v>10894</v>
      </c>
      <c r="K20" s="15">
        <f>L20+7008+11154+9077+8768+10676+10588+2521+7242+10236+10216+10614+10620+10632+10760+10206+10892+10136+10692+10896+9992+10630</f>
        <v>214450</v>
      </c>
      <c r="L20" s="15">
        <f>2746*2+214*2+2487*2</f>
        <v>10894</v>
      </c>
      <c r="M20" s="15">
        <f t="shared" si="0"/>
        <v>10894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0.4224467755727892</v>
      </c>
      <c r="AF20" s="84">
        <f t="shared" si="8"/>
        <v>15</v>
      </c>
    </row>
    <row r="21" spans="1:32" ht="26.25" customHeight="1">
      <c r="A21" s="96">
        <v>16</v>
      </c>
      <c r="B21" s="11" t="s">
        <v>57</v>
      </c>
      <c r="C21" s="11" t="s">
        <v>113</v>
      </c>
      <c r="D21" s="52"/>
      <c r="E21" s="53" t="s">
        <v>299</v>
      </c>
      <c r="F21" s="12" t="s">
        <v>114</v>
      </c>
      <c r="G21" s="12">
        <v>3</v>
      </c>
      <c r="H21" s="35">
        <v>20</v>
      </c>
      <c r="I21" s="7">
        <v>1000000</v>
      </c>
      <c r="J21" s="14">
        <v>55900</v>
      </c>
      <c r="K21" s="15">
        <f>L21+56500</f>
        <v>112400</v>
      </c>
      <c r="L21" s="15">
        <f>7864*4+6111*4</f>
        <v>55900</v>
      </c>
      <c r="M21" s="15">
        <f t="shared" si="0"/>
        <v>55900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0.4224467755727892</v>
      </c>
      <c r="AF21" s="84">
        <f t="shared" si="8"/>
        <v>16</v>
      </c>
    </row>
    <row r="22" spans="1:32" ht="18.75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0.4224467755727892</v>
      </c>
      <c r="AF22" s="84">
        <f t="shared" si="8"/>
        <v>31</v>
      </c>
    </row>
    <row r="23" spans="1:32" ht="18.75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0.4224467755727892</v>
      </c>
      <c r="AF23" s="84">
        <f t="shared" si="8"/>
        <v>32</v>
      </c>
    </row>
    <row r="24" spans="1:32" ht="18.75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3244</v>
      </c>
      <c r="K24" s="15">
        <f>L24+4387+7770+5806+7905+7479+7369+7360+2397+6904+7208+7013+6976+6992+2652+6495+7026+7051+7084+4297+6519+7042+3244</f>
        <v>136976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20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0.4224467755727892</v>
      </c>
      <c r="AF24" s="84">
        <f t="shared" si="8"/>
        <v>33</v>
      </c>
    </row>
    <row r="25" spans="1:32" ht="28.5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0.4224467755727892</v>
      </c>
      <c r="AF25" s="84">
        <f t="shared" si="8"/>
        <v>34</v>
      </c>
    </row>
    <row r="26" spans="1:32" ht="28.5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0.4224467755727892</v>
      </c>
      <c r="AF26" s="84">
        <f t="shared" si="8"/>
        <v>35</v>
      </c>
    </row>
    <row r="27" spans="1:32" ht="19.5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400000</v>
      </c>
      <c r="J27" s="14">
        <v>356070</v>
      </c>
      <c r="K27" s="15">
        <f>L27</f>
        <v>356070</v>
      </c>
      <c r="L27" s="15">
        <f>6016*30+5853*30</f>
        <v>356070</v>
      </c>
      <c r="M27" s="15">
        <f t="shared" si="0"/>
        <v>356070</v>
      </c>
      <c r="N27" s="15">
        <v>0</v>
      </c>
      <c r="O27" s="58">
        <f t="shared" si="1"/>
        <v>0</v>
      </c>
      <c r="P27" s="39">
        <f t="shared" si="2"/>
        <v>23</v>
      </c>
      <c r="Q27" s="40">
        <f t="shared" si="3"/>
        <v>1</v>
      </c>
      <c r="R27" s="7"/>
      <c r="S27" s="6"/>
      <c r="T27" s="16">
        <v>1</v>
      </c>
      <c r="U27" s="16"/>
      <c r="V27" s="120"/>
      <c r="W27" s="5"/>
      <c r="X27" s="16"/>
      <c r="Y27" s="16"/>
      <c r="Z27" s="16"/>
      <c r="AA27" s="18"/>
      <c r="AB27" s="8">
        <f t="shared" si="4"/>
        <v>1</v>
      </c>
      <c r="AC27" s="9">
        <f t="shared" si="5"/>
        <v>0.95833333333333337</v>
      </c>
      <c r="AD27" s="10">
        <f t="shared" si="6"/>
        <v>0.95833333333333337</v>
      </c>
      <c r="AE27" s="36">
        <f t="shared" si="7"/>
        <v>0.4224467755727892</v>
      </c>
      <c r="AF27" s="84">
        <f t="shared" si="8"/>
        <v>36</v>
      </c>
    </row>
    <row r="28" spans="1:32" ht="19.5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9">SUM(I6:I27)</f>
        <v>3190500</v>
      </c>
      <c r="J28" s="19">
        <f t="shared" si="9"/>
        <v>565316</v>
      </c>
      <c r="K28" s="20">
        <f t="shared" si="9"/>
        <v>2036755</v>
      </c>
      <c r="L28" s="21">
        <f t="shared" si="9"/>
        <v>498374</v>
      </c>
      <c r="M28" s="20">
        <f t="shared" si="9"/>
        <v>498374</v>
      </c>
      <c r="N28" s="21">
        <f t="shared" si="9"/>
        <v>0</v>
      </c>
      <c r="O28" s="41">
        <f t="shared" si="1"/>
        <v>0</v>
      </c>
      <c r="P28" s="42">
        <f t="shared" ref="P28:AA28" si="10">SUM(P6:P27)</f>
        <v>223</v>
      </c>
      <c r="Q28" s="43">
        <f t="shared" si="10"/>
        <v>305</v>
      </c>
      <c r="R28" s="23">
        <f t="shared" si="10"/>
        <v>7</v>
      </c>
      <c r="S28" s="24">
        <f t="shared" si="10"/>
        <v>57</v>
      </c>
      <c r="T28" s="24">
        <f t="shared" si="10"/>
        <v>1</v>
      </c>
      <c r="U28" s="24">
        <f t="shared" si="10"/>
        <v>0</v>
      </c>
      <c r="V28" s="25">
        <f t="shared" si="10"/>
        <v>48</v>
      </c>
      <c r="W28" s="26">
        <f t="shared" si="10"/>
        <v>144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48</v>
      </c>
      <c r="AB28" s="28">
        <f>AVERAGE(AB6:AB27)</f>
        <v>0.55016217969510217</v>
      </c>
      <c r="AC28" s="4">
        <f>AVERAGE(AC6:AC27)</f>
        <v>0.42234848484848492</v>
      </c>
      <c r="AD28" s="4">
        <f>AVERAGE(AD6:AD27)</f>
        <v>0.4224467755727892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401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408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298" t="s">
        <v>46</v>
      </c>
      <c r="D57" s="298" t="s">
        <v>47</v>
      </c>
      <c r="E57" s="298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298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43" t="s">
        <v>116</v>
      </c>
      <c r="B58" s="533"/>
      <c r="C58" s="301" t="s">
        <v>210</v>
      </c>
      <c r="D58" s="301" t="s">
        <v>142</v>
      </c>
      <c r="E58" s="301" t="s">
        <v>360</v>
      </c>
      <c r="F58" s="530" t="s">
        <v>402</v>
      </c>
      <c r="G58" s="531"/>
      <c r="H58" s="531"/>
      <c r="I58" s="531"/>
      <c r="J58" s="531"/>
      <c r="K58" s="531"/>
      <c r="L58" s="531"/>
      <c r="M58" s="532"/>
      <c r="N58" s="300" t="s">
        <v>138</v>
      </c>
      <c r="O58" s="302" t="s">
        <v>287</v>
      </c>
      <c r="P58" s="544" t="s">
        <v>115</v>
      </c>
      <c r="Q58" s="545"/>
      <c r="R58" s="544" t="s">
        <v>381</v>
      </c>
      <c r="S58" s="546"/>
      <c r="T58" s="546"/>
      <c r="U58" s="545"/>
      <c r="V58" s="517" t="s">
        <v>120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43" t="s">
        <v>138</v>
      </c>
      <c r="B59" s="533"/>
      <c r="C59" s="301" t="s">
        <v>287</v>
      </c>
      <c r="D59" s="301" t="s">
        <v>115</v>
      </c>
      <c r="E59" s="301" t="s">
        <v>381</v>
      </c>
      <c r="F59" s="530" t="s">
        <v>403</v>
      </c>
      <c r="G59" s="531"/>
      <c r="H59" s="531"/>
      <c r="I59" s="531"/>
      <c r="J59" s="531"/>
      <c r="K59" s="531"/>
      <c r="L59" s="531"/>
      <c r="M59" s="532"/>
      <c r="N59" s="297" t="s">
        <v>411</v>
      </c>
      <c r="O59" s="291" t="s">
        <v>412</v>
      </c>
      <c r="P59" s="544" t="s">
        <v>115</v>
      </c>
      <c r="Q59" s="545"/>
      <c r="R59" s="544" t="s">
        <v>409</v>
      </c>
      <c r="S59" s="546"/>
      <c r="T59" s="546"/>
      <c r="U59" s="545"/>
      <c r="V59" s="517" t="s">
        <v>410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112</v>
      </c>
      <c r="B60" s="533"/>
      <c r="C60" s="294" t="s">
        <v>167</v>
      </c>
      <c r="D60" s="294" t="s">
        <v>137</v>
      </c>
      <c r="E60" s="294" t="s">
        <v>191</v>
      </c>
      <c r="F60" s="530" t="s">
        <v>404</v>
      </c>
      <c r="G60" s="531"/>
      <c r="H60" s="531"/>
      <c r="I60" s="531"/>
      <c r="J60" s="531"/>
      <c r="K60" s="531"/>
      <c r="L60" s="531"/>
      <c r="M60" s="532"/>
      <c r="N60" s="297" t="s">
        <v>415</v>
      </c>
      <c r="O60" s="291" t="s">
        <v>416</v>
      </c>
      <c r="P60" s="544" t="s">
        <v>115</v>
      </c>
      <c r="Q60" s="545"/>
      <c r="R60" s="544" t="s">
        <v>413</v>
      </c>
      <c r="S60" s="546"/>
      <c r="T60" s="546"/>
      <c r="U60" s="545"/>
      <c r="V60" s="517" t="s">
        <v>414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138</v>
      </c>
      <c r="B61" s="533"/>
      <c r="C61" s="294" t="s">
        <v>407</v>
      </c>
      <c r="D61" s="294" t="s">
        <v>115</v>
      </c>
      <c r="E61" s="294" t="s">
        <v>405</v>
      </c>
      <c r="F61" s="530" t="s">
        <v>406</v>
      </c>
      <c r="G61" s="531"/>
      <c r="H61" s="531"/>
      <c r="I61" s="531"/>
      <c r="J61" s="531"/>
      <c r="K61" s="531"/>
      <c r="L61" s="531"/>
      <c r="M61" s="532"/>
      <c r="N61" s="297" t="s">
        <v>138</v>
      </c>
      <c r="O61" s="291" t="s">
        <v>418</v>
      </c>
      <c r="P61" s="544" t="s">
        <v>419</v>
      </c>
      <c r="Q61" s="545"/>
      <c r="R61" s="544" t="s">
        <v>417</v>
      </c>
      <c r="S61" s="546"/>
      <c r="T61" s="546"/>
      <c r="U61" s="545"/>
      <c r="V61" s="517" t="s">
        <v>120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/>
      <c r="B62" s="533"/>
      <c r="C62" s="294"/>
      <c r="D62" s="294"/>
      <c r="E62" s="294"/>
      <c r="F62" s="530"/>
      <c r="G62" s="531"/>
      <c r="H62" s="531"/>
      <c r="I62" s="531"/>
      <c r="J62" s="531"/>
      <c r="K62" s="531"/>
      <c r="L62" s="531"/>
      <c r="M62" s="532"/>
      <c r="N62" s="297"/>
      <c r="O62" s="291"/>
      <c r="P62" s="544"/>
      <c r="Q62" s="545"/>
      <c r="R62" s="544"/>
      <c r="S62" s="546"/>
      <c r="T62" s="546"/>
      <c r="U62" s="545"/>
      <c r="V62" s="517"/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/>
      <c r="B63" s="533"/>
      <c r="C63" s="294"/>
      <c r="D63" s="294"/>
      <c r="E63" s="294"/>
      <c r="F63" s="530"/>
      <c r="G63" s="531"/>
      <c r="H63" s="531"/>
      <c r="I63" s="531"/>
      <c r="J63" s="531"/>
      <c r="K63" s="531"/>
      <c r="L63" s="531"/>
      <c r="M63" s="532"/>
      <c r="N63" s="297"/>
      <c r="O63" s="291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294"/>
      <c r="D64" s="294"/>
      <c r="E64" s="294"/>
      <c r="F64" s="530"/>
      <c r="G64" s="531"/>
      <c r="H64" s="531"/>
      <c r="I64" s="531"/>
      <c r="J64" s="531"/>
      <c r="K64" s="531"/>
      <c r="L64" s="531"/>
      <c r="M64" s="532"/>
      <c r="N64" s="297"/>
      <c r="O64" s="291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293"/>
      <c r="D65" s="293"/>
      <c r="E65" s="294"/>
      <c r="F65" s="530"/>
      <c r="G65" s="531"/>
      <c r="H65" s="531"/>
      <c r="I65" s="531"/>
      <c r="J65" s="531"/>
      <c r="K65" s="531"/>
      <c r="L65" s="531"/>
      <c r="M65" s="532"/>
      <c r="N65" s="297"/>
      <c r="O65" s="291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293"/>
      <c r="D66" s="293"/>
      <c r="E66" s="294"/>
      <c r="F66" s="530"/>
      <c r="G66" s="531"/>
      <c r="H66" s="531"/>
      <c r="I66" s="531"/>
      <c r="J66" s="531"/>
      <c r="K66" s="531"/>
      <c r="L66" s="531"/>
      <c r="M66" s="532"/>
      <c r="N66" s="297"/>
      <c r="O66" s="291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295"/>
      <c r="D67" s="296"/>
      <c r="E67" s="295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420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292" t="s">
        <v>2</v>
      </c>
      <c r="D69" s="292" t="s">
        <v>37</v>
      </c>
      <c r="E69" s="292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292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 t="s">
        <v>163</v>
      </c>
      <c r="D70" s="287"/>
      <c r="E70" s="290"/>
      <c r="F70" s="518" t="s">
        <v>394</v>
      </c>
      <c r="G70" s="519"/>
      <c r="H70" s="519"/>
      <c r="I70" s="519"/>
      <c r="J70" s="520"/>
      <c r="K70" s="504" t="s">
        <v>141</v>
      </c>
      <c r="L70" s="504"/>
      <c r="M70" s="51" t="s">
        <v>421</v>
      </c>
      <c r="N70" s="515" t="s">
        <v>307</v>
      </c>
      <c r="O70" s="515"/>
      <c r="P70" s="516">
        <v>100</v>
      </c>
      <c r="Q70" s="516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 t="s">
        <v>422</v>
      </c>
      <c r="D71" s="287"/>
      <c r="E71" s="290" t="s">
        <v>419</v>
      </c>
      <c r="F71" s="518" t="s">
        <v>423</v>
      </c>
      <c r="G71" s="519"/>
      <c r="H71" s="519"/>
      <c r="I71" s="519"/>
      <c r="J71" s="520"/>
      <c r="K71" s="504" t="s">
        <v>424</v>
      </c>
      <c r="L71" s="504"/>
      <c r="M71" s="51" t="s">
        <v>425</v>
      </c>
      <c r="N71" s="515" t="s">
        <v>426</v>
      </c>
      <c r="O71" s="515"/>
      <c r="P71" s="516">
        <v>100</v>
      </c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/>
      <c r="D72" s="287"/>
      <c r="E72" s="290"/>
      <c r="F72" s="518"/>
      <c r="G72" s="519"/>
      <c r="H72" s="519"/>
      <c r="I72" s="519"/>
      <c r="J72" s="520"/>
      <c r="K72" s="504"/>
      <c r="L72" s="504"/>
      <c r="M72" s="51"/>
      <c r="N72" s="515"/>
      <c r="O72" s="515"/>
      <c r="P72" s="516"/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/>
      <c r="D73" s="287"/>
      <c r="E73" s="290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/>
      <c r="D74" s="287"/>
      <c r="E74" s="290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/>
      <c r="D75" s="287"/>
      <c r="E75" s="290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/>
      <c r="D76" s="287"/>
      <c r="E76" s="290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287"/>
      <c r="E77" s="290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287"/>
      <c r="E78" s="290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287"/>
      <c r="E79" s="290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427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289" t="s">
        <v>2</v>
      </c>
      <c r="D81" s="289" t="s">
        <v>37</v>
      </c>
      <c r="E81" s="289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288"/>
      <c r="D82" s="288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287"/>
      <c r="D83" s="287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1">A83+1</f>
        <v>3</v>
      </c>
      <c r="B84" s="472"/>
      <c r="C84" s="287"/>
      <c r="D84" s="287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1"/>
        <v>4</v>
      </c>
      <c r="B85" s="472"/>
      <c r="C85" s="287"/>
      <c r="D85" s="287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1"/>
        <v>5</v>
      </c>
      <c r="B86" s="472"/>
      <c r="C86" s="287"/>
      <c r="D86" s="287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1"/>
        <v>6</v>
      </c>
      <c r="B87" s="472"/>
      <c r="C87" s="287"/>
      <c r="D87" s="287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1"/>
        <v>7</v>
      </c>
      <c r="B88" s="472"/>
      <c r="C88" s="287"/>
      <c r="D88" s="287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428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 t="s">
        <v>129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3" max="29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C4D8-0B59-4B31-B76C-E9C501784BD5}">
  <sheetPr>
    <pageSetUpPr fitToPage="1"/>
  </sheetPr>
  <dimension ref="A1:AF93"/>
  <sheetViews>
    <sheetView view="pageBreakPreview" zoomScale="70" zoomScaleNormal="72" zoomScaleSheetLayoutView="70" workbookViewId="0">
      <selection activeCell="L8" sqref="L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429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315" t="s">
        <v>17</v>
      </c>
      <c r="L5" s="315" t="s">
        <v>18</v>
      </c>
      <c r="M5" s="315" t="s">
        <v>19</v>
      </c>
      <c r="N5" s="31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163</v>
      </c>
      <c r="D6" s="52"/>
      <c r="E6" s="53" t="s">
        <v>394</v>
      </c>
      <c r="F6" s="30" t="s">
        <v>141</v>
      </c>
      <c r="G6" s="12">
        <v>1</v>
      </c>
      <c r="H6" s="13">
        <v>24</v>
      </c>
      <c r="I6" s="31">
        <v>600</v>
      </c>
      <c r="J6" s="14">
        <v>600</v>
      </c>
      <c r="K6" s="15">
        <f>L6</f>
        <v>600</v>
      </c>
      <c r="L6" s="15">
        <v>600</v>
      </c>
      <c r="M6" s="15">
        <f t="shared" ref="M6:M27" si="0">L6-N6</f>
        <v>600</v>
      </c>
      <c r="N6" s="15">
        <v>0</v>
      </c>
      <c r="O6" s="58">
        <f t="shared" ref="O6:O28" si="1">IF(L6=0,"0",N6/L6)</f>
        <v>0</v>
      </c>
      <c r="P6" s="39">
        <f t="shared" ref="P6:P27" si="2">IF(L6=0,"0",(24-Q6))</f>
        <v>4</v>
      </c>
      <c r="Q6" s="40">
        <f t="shared" ref="Q6:Q27" si="3">SUM(R6:AA6)</f>
        <v>20</v>
      </c>
      <c r="R6" s="7"/>
      <c r="S6" s="6"/>
      <c r="T6" s="16"/>
      <c r="U6" s="16"/>
      <c r="V6" s="17"/>
      <c r="W6" s="5">
        <v>20</v>
      </c>
      <c r="X6" s="16"/>
      <c r="Y6" s="16"/>
      <c r="Z6" s="16"/>
      <c r="AA6" s="18"/>
      <c r="AB6" s="8">
        <f t="shared" ref="AB6:AB27" si="4">IF(J6=0,"0",(L6/J6))</f>
        <v>1</v>
      </c>
      <c r="AC6" s="9">
        <f t="shared" ref="AC6:AC27" si="5">IF(P6=0,"0",(P6/24))</f>
        <v>0.16666666666666666</v>
      </c>
      <c r="AD6" s="10">
        <f t="shared" ref="AD6:AD27" si="6">AC6*AB6*(1-O6)</f>
        <v>0.16666666666666666</v>
      </c>
      <c r="AE6" s="36">
        <f t="shared" ref="AE6:AE27" si="7">$AD$28</f>
        <v>0.44696969696969691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180000</v>
      </c>
      <c r="J7" s="14">
        <v>4540</v>
      </c>
      <c r="K7" s="15">
        <f>L7</f>
        <v>4540</v>
      </c>
      <c r="L7" s="15">
        <f>2270*2</f>
        <v>4540</v>
      </c>
      <c r="M7" s="15">
        <f t="shared" si="0"/>
        <v>4540</v>
      </c>
      <c r="N7" s="15">
        <v>0</v>
      </c>
      <c r="O7" s="58">
        <f t="shared" si="1"/>
        <v>0</v>
      </c>
      <c r="P7" s="39">
        <f t="shared" si="2"/>
        <v>11</v>
      </c>
      <c r="Q7" s="40">
        <f t="shared" si="3"/>
        <v>13</v>
      </c>
      <c r="R7" s="7"/>
      <c r="S7" s="6">
        <v>13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0.45833333333333331</v>
      </c>
      <c r="AD7" s="10">
        <f t="shared" si="6"/>
        <v>0.45833333333333331</v>
      </c>
      <c r="AE7" s="36">
        <f t="shared" si="7"/>
        <v>0.44696969696969691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160000</v>
      </c>
      <c r="J8" s="14">
        <v>11758</v>
      </c>
      <c r="K8" s="15">
        <f>L8+8132+2262+5886+10522+11854+11762+11766+11818+11592+5898</f>
        <v>103250</v>
      </c>
      <c r="L8" s="15">
        <f>2970*2+2909*2</f>
        <v>11758</v>
      </c>
      <c r="M8" s="15">
        <f t="shared" si="0"/>
        <v>11758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0.44696969696969691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160000</v>
      </c>
      <c r="J9" s="14">
        <v>11696</v>
      </c>
      <c r="K9" s="15">
        <f>L9+10280+10788+10818+10814+11584+6366</f>
        <v>72346</v>
      </c>
      <c r="L9" s="15">
        <f>2893*2+2955*2</f>
        <v>11696</v>
      </c>
      <c r="M9" s="15">
        <f t="shared" si="0"/>
        <v>11696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0.44696969696969691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163</v>
      </c>
      <c r="D10" s="52"/>
      <c r="E10" s="53" t="s">
        <v>204</v>
      </c>
      <c r="F10" s="30" t="s">
        <v>205</v>
      </c>
      <c r="G10" s="33">
        <v>2</v>
      </c>
      <c r="H10" s="35">
        <v>24</v>
      </c>
      <c r="I10" s="7">
        <v>100000</v>
      </c>
      <c r="J10" s="14">
        <v>10206</v>
      </c>
      <c r="K10" s="15">
        <f>L10</f>
        <v>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/>
      <c r="W10" s="5"/>
      <c r="X10" s="16"/>
      <c r="Y10" s="16"/>
      <c r="Z10" s="16"/>
      <c r="AA10" s="18">
        <v>24</v>
      </c>
      <c r="AB10" s="8">
        <f t="shared" si="4"/>
        <v>0</v>
      </c>
      <c r="AC10" s="9">
        <f t="shared" si="5"/>
        <v>0</v>
      </c>
      <c r="AD10" s="10">
        <f t="shared" si="6"/>
        <v>0</v>
      </c>
      <c r="AE10" s="36">
        <f t="shared" si="7"/>
        <v>0.44696969696969691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123</v>
      </c>
      <c r="E11" s="53" t="s">
        <v>430</v>
      </c>
      <c r="F11" s="30" t="s">
        <v>128</v>
      </c>
      <c r="G11" s="33">
        <v>2</v>
      </c>
      <c r="H11" s="35">
        <v>24</v>
      </c>
      <c r="I11" s="7">
        <v>10000</v>
      </c>
      <c r="J11" s="14">
        <v>10400</v>
      </c>
      <c r="K11" s="15">
        <f>L11</f>
        <v>0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>
        <v>24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si="6"/>
        <v>0</v>
      </c>
      <c r="AE11" s="36">
        <f t="shared" si="7"/>
        <v>0.44696969696969691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138</v>
      </c>
      <c r="D12" s="52" t="s">
        <v>115</v>
      </c>
      <c r="E12" s="53" t="s">
        <v>381</v>
      </c>
      <c r="F12" s="30" t="s">
        <v>139</v>
      </c>
      <c r="G12" s="12">
        <v>2</v>
      </c>
      <c r="H12" s="13">
        <v>22</v>
      </c>
      <c r="I12" s="31">
        <v>20000</v>
      </c>
      <c r="J12" s="5">
        <v>8174</v>
      </c>
      <c r="K12" s="15">
        <f>L12</f>
        <v>8174</v>
      </c>
      <c r="L12" s="15">
        <f>2619*2+1468*2</f>
        <v>8174</v>
      </c>
      <c r="M12" s="15">
        <f t="shared" si="0"/>
        <v>8174</v>
      </c>
      <c r="N12" s="15">
        <v>0</v>
      </c>
      <c r="O12" s="58">
        <f t="shared" si="1"/>
        <v>0</v>
      </c>
      <c r="P12" s="39">
        <f t="shared" si="2"/>
        <v>21</v>
      </c>
      <c r="Q12" s="40">
        <f t="shared" si="3"/>
        <v>3</v>
      </c>
      <c r="R12" s="7"/>
      <c r="S12" s="6">
        <v>3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0.875</v>
      </c>
      <c r="AD12" s="10">
        <f t="shared" si="6"/>
        <v>0.875</v>
      </c>
      <c r="AE12" s="36">
        <f t="shared" si="7"/>
        <v>0.44696969696969691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123</v>
      </c>
      <c r="E13" s="53" t="s">
        <v>179</v>
      </c>
      <c r="F13" s="30" t="s">
        <v>128</v>
      </c>
      <c r="G13" s="33">
        <v>2</v>
      </c>
      <c r="H13" s="35">
        <v>35</v>
      </c>
      <c r="I13" s="7">
        <v>190000</v>
      </c>
      <c r="J13" s="14">
        <v>12272</v>
      </c>
      <c r="K13" s="15">
        <f>L13+6644+12322+12086+12660+12576+12284+12314+12182+11830</f>
        <v>117170</v>
      </c>
      <c r="L13" s="15">
        <f>3041*2+3095*2</f>
        <v>12272</v>
      </c>
      <c r="M13" s="15">
        <f t="shared" si="0"/>
        <v>12272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6"/>
        <v>1</v>
      </c>
      <c r="AE13" s="36">
        <f t="shared" si="7"/>
        <v>0.44696969696969691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112</v>
      </c>
      <c r="D14" s="52" t="s">
        <v>115</v>
      </c>
      <c r="E14" s="53" t="s">
        <v>181</v>
      </c>
      <c r="F14" s="30" t="s">
        <v>171</v>
      </c>
      <c r="G14" s="33">
        <v>1</v>
      </c>
      <c r="H14" s="35">
        <v>50</v>
      </c>
      <c r="I14" s="7">
        <v>500</v>
      </c>
      <c r="J14" s="5">
        <v>608</v>
      </c>
      <c r="K14" s="15">
        <f>L14+290+608</f>
        <v>898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0.44696969696969691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12000</v>
      </c>
      <c r="J15" s="14">
        <v>12356</v>
      </c>
      <c r="K15" s="15">
        <f>L15+12356</f>
        <v>12356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0.44696969696969691</v>
      </c>
      <c r="AF15" s="84">
        <f t="shared" si="8"/>
        <v>10</v>
      </c>
    </row>
    <row r="16" spans="1:32" ht="27" customHeight="1">
      <c r="A16" s="112">
        <v>11</v>
      </c>
      <c r="B16" s="11" t="s">
        <v>57</v>
      </c>
      <c r="C16" s="34" t="s">
        <v>116</v>
      </c>
      <c r="D16" s="52" t="s">
        <v>115</v>
      </c>
      <c r="E16" s="53" t="s">
        <v>409</v>
      </c>
      <c r="F16" s="30" t="s">
        <v>171</v>
      </c>
      <c r="G16" s="12">
        <v>1</v>
      </c>
      <c r="H16" s="13">
        <v>24</v>
      </c>
      <c r="I16" s="7">
        <v>620</v>
      </c>
      <c r="J16" s="14">
        <v>3700</v>
      </c>
      <c r="K16" s="15">
        <f>L16</f>
        <v>3700</v>
      </c>
      <c r="L16" s="15">
        <f>2936+764</f>
        <v>3700</v>
      </c>
      <c r="M16" s="15">
        <f t="shared" si="0"/>
        <v>3700</v>
      </c>
      <c r="N16" s="15">
        <v>0</v>
      </c>
      <c r="O16" s="58">
        <f t="shared" si="1"/>
        <v>0</v>
      </c>
      <c r="P16" s="39">
        <f t="shared" si="2"/>
        <v>18</v>
      </c>
      <c r="Q16" s="40">
        <f t="shared" si="3"/>
        <v>6</v>
      </c>
      <c r="R16" s="7"/>
      <c r="S16" s="6"/>
      <c r="T16" s="16"/>
      <c r="U16" s="16"/>
      <c r="V16" s="17"/>
      <c r="W16" s="5"/>
      <c r="X16" s="16"/>
      <c r="Y16" s="16"/>
      <c r="Z16" s="16"/>
      <c r="AA16" s="18">
        <v>6</v>
      </c>
      <c r="AB16" s="8">
        <f t="shared" si="4"/>
        <v>1</v>
      </c>
      <c r="AC16" s="9">
        <f t="shared" si="5"/>
        <v>0.75</v>
      </c>
      <c r="AD16" s="10">
        <f t="shared" si="6"/>
        <v>0.75</v>
      </c>
      <c r="AE16" s="36">
        <f t="shared" si="7"/>
        <v>0.44696969696969691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296</v>
      </c>
      <c r="D17" s="52"/>
      <c r="E17" s="53" t="s">
        <v>297</v>
      </c>
      <c r="F17" s="30" t="s">
        <v>298</v>
      </c>
      <c r="G17" s="12">
        <v>4</v>
      </c>
      <c r="H17" s="13">
        <v>24</v>
      </c>
      <c r="I17" s="7">
        <v>40000</v>
      </c>
      <c r="J17" s="14">
        <v>24388</v>
      </c>
      <c r="K17" s="15">
        <f>L17+16652+24516+23120+24488+24556+24428+23372</f>
        <v>185520</v>
      </c>
      <c r="L17" s="15">
        <f>3084*4+3013*4</f>
        <v>24388</v>
      </c>
      <c r="M17" s="15">
        <f t="shared" si="0"/>
        <v>24388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6"/>
        <v>1</v>
      </c>
      <c r="AE17" s="36">
        <f t="shared" si="7"/>
        <v>0.44696969696969691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137</v>
      </c>
      <c r="E18" s="53" t="s">
        <v>191</v>
      </c>
      <c r="F18" s="30" t="s">
        <v>130</v>
      </c>
      <c r="G18" s="33">
        <v>1</v>
      </c>
      <c r="H18" s="35">
        <v>24</v>
      </c>
      <c r="I18" s="7">
        <v>180000</v>
      </c>
      <c r="J18" s="14">
        <v>11446</v>
      </c>
      <c r="K18" s="15">
        <f>L18+9952+11100+11616+11336+11468+11654+10384+11002+11590+11484+11300+9654+6186</f>
        <v>150172</v>
      </c>
      <c r="L18" s="15">
        <f>2838*2+2885*2</f>
        <v>11446</v>
      </c>
      <c r="M18" s="15">
        <f t="shared" si="0"/>
        <v>11446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6"/>
        <v>1</v>
      </c>
      <c r="AE18" s="36">
        <f t="shared" si="7"/>
        <v>0.44696969696969691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138</v>
      </c>
      <c r="D19" s="52" t="s">
        <v>123</v>
      </c>
      <c r="E19" s="53" t="s">
        <v>380</v>
      </c>
      <c r="F19" s="30" t="s">
        <v>139</v>
      </c>
      <c r="G19" s="33">
        <v>2</v>
      </c>
      <c r="H19" s="35">
        <v>24</v>
      </c>
      <c r="I19" s="7">
        <v>20000</v>
      </c>
      <c r="J19" s="14">
        <v>6196</v>
      </c>
      <c r="K19" s="15">
        <f>L19+9274+6870</f>
        <v>22340</v>
      </c>
      <c r="L19" s="15">
        <f>2894*2+204*2</f>
        <v>6196</v>
      </c>
      <c r="M19" s="15">
        <f t="shared" si="0"/>
        <v>6196</v>
      </c>
      <c r="N19" s="15">
        <v>0</v>
      </c>
      <c r="O19" s="58">
        <f t="shared" si="1"/>
        <v>0</v>
      </c>
      <c r="P19" s="39">
        <f t="shared" si="2"/>
        <v>14</v>
      </c>
      <c r="Q19" s="40">
        <f t="shared" si="3"/>
        <v>10</v>
      </c>
      <c r="R19" s="7"/>
      <c r="S19" s="6"/>
      <c r="T19" s="16"/>
      <c r="U19" s="16"/>
      <c r="V19" s="17"/>
      <c r="W19" s="5">
        <v>10</v>
      </c>
      <c r="X19" s="16"/>
      <c r="Y19" s="16"/>
      <c r="Z19" s="16"/>
      <c r="AA19" s="18"/>
      <c r="AB19" s="8">
        <f t="shared" si="4"/>
        <v>1</v>
      </c>
      <c r="AC19" s="9">
        <f t="shared" si="5"/>
        <v>0.58333333333333337</v>
      </c>
      <c r="AD19" s="10">
        <f t="shared" si="6"/>
        <v>0.58333333333333337</v>
      </c>
      <c r="AE19" s="36">
        <f t="shared" si="7"/>
        <v>0.44696969696969691</v>
      </c>
      <c r="AF19" s="84">
        <f t="shared" si="8"/>
        <v>14</v>
      </c>
    </row>
    <row r="20" spans="1:32" ht="27" customHeight="1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206</v>
      </c>
      <c r="G20" s="12">
        <v>2</v>
      </c>
      <c r="H20" s="13">
        <v>24</v>
      </c>
      <c r="I20" s="7">
        <v>230000</v>
      </c>
      <c r="J20" s="14">
        <v>10894</v>
      </c>
      <c r="K20" s="15">
        <f>L20+7008+11154+9077+8768+10676+10588+2521+7242+10236+10216+10614+10620+10632+10760+10206+10892+10136+10692+10896+9992+10630+10894</f>
        <v>214450</v>
      </c>
      <c r="L20" s="15">
        <f>0</f>
        <v>0</v>
      </c>
      <c r="M20" s="15">
        <f t="shared" si="0"/>
        <v>0</v>
      </c>
      <c r="N20" s="15">
        <v>0</v>
      </c>
      <c r="O20" s="58" t="str">
        <f t="shared" si="1"/>
        <v>0</v>
      </c>
      <c r="P20" s="39" t="str">
        <f t="shared" si="2"/>
        <v>0</v>
      </c>
      <c r="Q20" s="40">
        <f t="shared" si="3"/>
        <v>24</v>
      </c>
      <c r="R20" s="7"/>
      <c r="S20" s="6">
        <v>24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0</v>
      </c>
      <c r="AC20" s="9">
        <f t="shared" si="5"/>
        <v>0</v>
      </c>
      <c r="AD20" s="10">
        <f t="shared" si="6"/>
        <v>0</v>
      </c>
      <c r="AE20" s="36">
        <f t="shared" si="7"/>
        <v>0.44696969696969691</v>
      </c>
      <c r="AF20" s="84">
        <f t="shared" si="8"/>
        <v>15</v>
      </c>
    </row>
    <row r="21" spans="1:32" ht="26.25" customHeight="1">
      <c r="A21" s="96">
        <v>16</v>
      </c>
      <c r="B21" s="11" t="s">
        <v>57</v>
      </c>
      <c r="C21" s="11" t="s">
        <v>113</v>
      </c>
      <c r="D21" s="52"/>
      <c r="E21" s="53" t="s">
        <v>299</v>
      </c>
      <c r="F21" s="12" t="s">
        <v>114</v>
      </c>
      <c r="G21" s="12">
        <v>3</v>
      </c>
      <c r="H21" s="35">
        <v>20</v>
      </c>
      <c r="I21" s="7">
        <v>1000000</v>
      </c>
      <c r="J21" s="14">
        <v>61924</v>
      </c>
      <c r="K21" s="15">
        <f>L21+56500+55900</f>
        <v>174324</v>
      </c>
      <c r="L21" s="15">
        <f>7673*4+7808*4</f>
        <v>61924</v>
      </c>
      <c r="M21" s="15">
        <f t="shared" si="0"/>
        <v>61924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0.44696969696969691</v>
      </c>
      <c r="AF21" s="84">
        <f t="shared" si="8"/>
        <v>16</v>
      </c>
    </row>
    <row r="22" spans="1:32" ht="18.75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0.44696969696969691</v>
      </c>
      <c r="AF22" s="84">
        <f t="shared" si="8"/>
        <v>31</v>
      </c>
    </row>
    <row r="23" spans="1:32" ht="18.75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0.44696969696969691</v>
      </c>
      <c r="AF23" s="84">
        <f t="shared" si="8"/>
        <v>32</v>
      </c>
    </row>
    <row r="24" spans="1:32" ht="18.75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3244</v>
      </c>
      <c r="K24" s="15">
        <f>L24+4387+7770+5806+7905+7479+7369+7360+2397+6904+7208+7013+6976+6992+2652+6495+7026+7051+7084+4297+6519+7042+3244</f>
        <v>136976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20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0.44696969696969691</v>
      </c>
      <c r="AF24" s="84">
        <f t="shared" si="8"/>
        <v>33</v>
      </c>
    </row>
    <row r="25" spans="1:32" ht="28.5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0.44696969696969691</v>
      </c>
      <c r="AF25" s="84">
        <f t="shared" si="8"/>
        <v>34</v>
      </c>
    </row>
    <row r="26" spans="1:32" ht="28.5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0.44696969696969691</v>
      </c>
      <c r="AF26" s="84">
        <f t="shared" si="8"/>
        <v>35</v>
      </c>
    </row>
    <row r="27" spans="1:32" ht="19.5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1300000</v>
      </c>
      <c r="J27" s="14">
        <v>486150</v>
      </c>
      <c r="K27" s="15">
        <f>L27+356070</f>
        <v>842220</v>
      </c>
      <c r="L27" s="15">
        <f>9280*30+6925*30</f>
        <v>486150</v>
      </c>
      <c r="M27" s="15">
        <f t="shared" si="0"/>
        <v>486150</v>
      </c>
      <c r="N27" s="15">
        <v>0</v>
      </c>
      <c r="O27" s="58">
        <f t="shared" si="1"/>
        <v>0</v>
      </c>
      <c r="P27" s="39">
        <f t="shared" si="2"/>
        <v>24</v>
      </c>
      <c r="Q27" s="40">
        <f t="shared" si="3"/>
        <v>0</v>
      </c>
      <c r="R27" s="7"/>
      <c r="S27" s="6"/>
      <c r="T27" s="16"/>
      <c r="U27" s="16"/>
      <c r="V27" s="120"/>
      <c r="W27" s="5"/>
      <c r="X27" s="16"/>
      <c r="Y27" s="16"/>
      <c r="Z27" s="16"/>
      <c r="AA27" s="18"/>
      <c r="AB27" s="8">
        <f t="shared" si="4"/>
        <v>1</v>
      </c>
      <c r="AC27" s="9">
        <f t="shared" si="5"/>
        <v>1</v>
      </c>
      <c r="AD27" s="10">
        <f t="shared" si="6"/>
        <v>1</v>
      </c>
      <c r="AE27" s="36">
        <f t="shared" si="7"/>
        <v>0.44696969696969691</v>
      </c>
      <c r="AF27" s="84">
        <f t="shared" si="8"/>
        <v>36</v>
      </c>
    </row>
    <row r="28" spans="1:32" ht="19.5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9">SUM(I6:I27)</f>
        <v>4223720</v>
      </c>
      <c r="J28" s="19">
        <f t="shared" si="9"/>
        <v>712140</v>
      </c>
      <c r="K28" s="20">
        <f t="shared" si="9"/>
        <v>2588680</v>
      </c>
      <c r="L28" s="21">
        <f t="shared" si="9"/>
        <v>642844</v>
      </c>
      <c r="M28" s="20">
        <f t="shared" si="9"/>
        <v>642844</v>
      </c>
      <c r="N28" s="21">
        <f t="shared" si="9"/>
        <v>0</v>
      </c>
      <c r="O28" s="41">
        <f t="shared" si="1"/>
        <v>0</v>
      </c>
      <c r="P28" s="42">
        <f t="shared" ref="P28:AA28" si="10">SUM(P6:P27)</f>
        <v>236</v>
      </c>
      <c r="Q28" s="43">
        <f t="shared" si="10"/>
        <v>292</v>
      </c>
      <c r="R28" s="23">
        <f t="shared" si="10"/>
        <v>0</v>
      </c>
      <c r="S28" s="24">
        <f t="shared" si="10"/>
        <v>64</v>
      </c>
      <c r="T28" s="24">
        <f t="shared" si="10"/>
        <v>0</v>
      </c>
      <c r="U28" s="24">
        <f t="shared" si="10"/>
        <v>0</v>
      </c>
      <c r="V28" s="25">
        <f t="shared" si="10"/>
        <v>48</v>
      </c>
      <c r="W28" s="26">
        <f t="shared" si="10"/>
        <v>150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30</v>
      </c>
      <c r="AB28" s="28">
        <f>AVERAGE(AB6:AB27)</f>
        <v>0.6</v>
      </c>
      <c r="AC28" s="4">
        <f>AVERAGE(AC6:AC27)</f>
        <v>0.44696969696969691</v>
      </c>
      <c r="AD28" s="4">
        <f>AVERAGE(AD6:AD27)</f>
        <v>0.44696969696969691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431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432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314" t="s">
        <v>46</v>
      </c>
      <c r="D57" s="314" t="s">
        <v>47</v>
      </c>
      <c r="E57" s="314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314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43" t="s">
        <v>116</v>
      </c>
      <c r="B58" s="533"/>
      <c r="C58" s="310" t="s">
        <v>210</v>
      </c>
      <c r="D58" s="310" t="s">
        <v>115</v>
      </c>
      <c r="E58" s="310" t="s">
        <v>409</v>
      </c>
      <c r="F58" s="530" t="s">
        <v>124</v>
      </c>
      <c r="G58" s="531"/>
      <c r="H58" s="531"/>
      <c r="I58" s="531"/>
      <c r="J58" s="531"/>
      <c r="K58" s="531"/>
      <c r="L58" s="531"/>
      <c r="M58" s="532"/>
      <c r="N58" s="313" t="s">
        <v>112</v>
      </c>
      <c r="O58" s="307" t="s">
        <v>346</v>
      </c>
      <c r="P58" s="544" t="s">
        <v>115</v>
      </c>
      <c r="Q58" s="545"/>
      <c r="R58" s="544" t="s">
        <v>413</v>
      </c>
      <c r="S58" s="546"/>
      <c r="T58" s="546"/>
      <c r="U58" s="545"/>
      <c r="V58" s="517" t="s">
        <v>414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43" t="s">
        <v>138</v>
      </c>
      <c r="B59" s="533"/>
      <c r="C59" s="310" t="s">
        <v>287</v>
      </c>
      <c r="D59" s="310" t="s">
        <v>115</v>
      </c>
      <c r="E59" s="310" t="s">
        <v>381</v>
      </c>
      <c r="F59" s="530" t="s">
        <v>120</v>
      </c>
      <c r="G59" s="531"/>
      <c r="H59" s="531"/>
      <c r="I59" s="531"/>
      <c r="J59" s="531"/>
      <c r="K59" s="531"/>
      <c r="L59" s="531"/>
      <c r="M59" s="532"/>
      <c r="N59" s="313" t="s">
        <v>112</v>
      </c>
      <c r="O59" s="307" t="s">
        <v>210</v>
      </c>
      <c r="P59" s="544" t="s">
        <v>137</v>
      </c>
      <c r="Q59" s="545"/>
      <c r="R59" s="544" t="s">
        <v>433</v>
      </c>
      <c r="S59" s="546"/>
      <c r="T59" s="546"/>
      <c r="U59" s="545"/>
      <c r="V59" s="517" t="s">
        <v>124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138</v>
      </c>
      <c r="B60" s="533"/>
      <c r="C60" s="310" t="s">
        <v>217</v>
      </c>
      <c r="D60" s="310" t="s">
        <v>142</v>
      </c>
      <c r="E60" s="310" t="s">
        <v>241</v>
      </c>
      <c r="F60" s="530" t="s">
        <v>120</v>
      </c>
      <c r="G60" s="531"/>
      <c r="H60" s="531"/>
      <c r="I60" s="531"/>
      <c r="J60" s="531"/>
      <c r="K60" s="531"/>
      <c r="L60" s="531"/>
      <c r="M60" s="532"/>
      <c r="N60" s="313" t="s">
        <v>116</v>
      </c>
      <c r="O60" s="307" t="s">
        <v>201</v>
      </c>
      <c r="P60" s="544" t="s">
        <v>135</v>
      </c>
      <c r="Q60" s="545"/>
      <c r="R60" s="544" t="s">
        <v>430</v>
      </c>
      <c r="S60" s="546"/>
      <c r="T60" s="546"/>
      <c r="U60" s="545"/>
      <c r="V60" s="517" t="s">
        <v>120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/>
      <c r="B61" s="533"/>
      <c r="C61" s="310"/>
      <c r="D61" s="310"/>
      <c r="E61" s="310"/>
      <c r="F61" s="530"/>
      <c r="G61" s="531"/>
      <c r="H61" s="531"/>
      <c r="I61" s="531"/>
      <c r="J61" s="531"/>
      <c r="K61" s="531"/>
      <c r="L61" s="531"/>
      <c r="M61" s="532"/>
      <c r="N61" s="313" t="s">
        <v>138</v>
      </c>
      <c r="O61" s="307" t="s">
        <v>201</v>
      </c>
      <c r="P61" s="544" t="s">
        <v>434</v>
      </c>
      <c r="Q61" s="545"/>
      <c r="R61" s="544" t="s">
        <v>435</v>
      </c>
      <c r="S61" s="546"/>
      <c r="T61" s="546"/>
      <c r="U61" s="545"/>
      <c r="V61" s="517" t="s">
        <v>124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/>
      <c r="B62" s="533"/>
      <c r="C62" s="310"/>
      <c r="D62" s="310"/>
      <c r="E62" s="310"/>
      <c r="F62" s="530"/>
      <c r="G62" s="531"/>
      <c r="H62" s="531"/>
      <c r="I62" s="531"/>
      <c r="J62" s="531"/>
      <c r="K62" s="531"/>
      <c r="L62" s="531"/>
      <c r="M62" s="532"/>
      <c r="N62" s="313"/>
      <c r="O62" s="307"/>
      <c r="P62" s="544"/>
      <c r="Q62" s="545"/>
      <c r="R62" s="544"/>
      <c r="S62" s="546"/>
      <c r="T62" s="546"/>
      <c r="U62" s="545"/>
      <c r="V62" s="517"/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/>
      <c r="B63" s="533"/>
      <c r="C63" s="310"/>
      <c r="D63" s="310"/>
      <c r="E63" s="310"/>
      <c r="F63" s="530"/>
      <c r="G63" s="531"/>
      <c r="H63" s="531"/>
      <c r="I63" s="531"/>
      <c r="J63" s="531"/>
      <c r="K63" s="531"/>
      <c r="L63" s="531"/>
      <c r="M63" s="532"/>
      <c r="N63" s="313"/>
      <c r="O63" s="307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310"/>
      <c r="D64" s="310"/>
      <c r="E64" s="310"/>
      <c r="F64" s="530"/>
      <c r="G64" s="531"/>
      <c r="H64" s="531"/>
      <c r="I64" s="531"/>
      <c r="J64" s="531"/>
      <c r="K64" s="531"/>
      <c r="L64" s="531"/>
      <c r="M64" s="532"/>
      <c r="N64" s="313"/>
      <c r="O64" s="307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309"/>
      <c r="D65" s="309"/>
      <c r="E65" s="310"/>
      <c r="F65" s="530"/>
      <c r="G65" s="531"/>
      <c r="H65" s="531"/>
      <c r="I65" s="531"/>
      <c r="J65" s="531"/>
      <c r="K65" s="531"/>
      <c r="L65" s="531"/>
      <c r="M65" s="532"/>
      <c r="N65" s="313"/>
      <c r="O65" s="307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309"/>
      <c r="D66" s="309"/>
      <c r="E66" s="310"/>
      <c r="F66" s="530"/>
      <c r="G66" s="531"/>
      <c r="H66" s="531"/>
      <c r="I66" s="531"/>
      <c r="J66" s="531"/>
      <c r="K66" s="531"/>
      <c r="L66" s="531"/>
      <c r="M66" s="532"/>
      <c r="N66" s="313"/>
      <c r="O66" s="307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311"/>
      <c r="D67" s="312"/>
      <c r="E67" s="311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436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308" t="s">
        <v>2</v>
      </c>
      <c r="D69" s="308" t="s">
        <v>37</v>
      </c>
      <c r="E69" s="308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308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 t="s">
        <v>163</v>
      </c>
      <c r="D70" s="303"/>
      <c r="E70" s="306"/>
      <c r="F70" s="518" t="s">
        <v>394</v>
      </c>
      <c r="G70" s="519"/>
      <c r="H70" s="519"/>
      <c r="I70" s="519"/>
      <c r="J70" s="520"/>
      <c r="K70" s="504" t="s">
        <v>141</v>
      </c>
      <c r="L70" s="504"/>
      <c r="M70" s="51" t="s">
        <v>421</v>
      </c>
      <c r="N70" s="515" t="s">
        <v>307</v>
      </c>
      <c r="O70" s="515"/>
      <c r="P70" s="516">
        <v>50</v>
      </c>
      <c r="Q70" s="516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 t="s">
        <v>116</v>
      </c>
      <c r="D71" s="303"/>
      <c r="E71" s="306" t="s">
        <v>127</v>
      </c>
      <c r="F71" s="518" t="s">
        <v>437</v>
      </c>
      <c r="G71" s="519"/>
      <c r="H71" s="519"/>
      <c r="I71" s="519"/>
      <c r="J71" s="520"/>
      <c r="K71" s="504" t="s">
        <v>130</v>
      </c>
      <c r="L71" s="504"/>
      <c r="M71" s="51" t="s">
        <v>438</v>
      </c>
      <c r="N71" s="515" t="s">
        <v>201</v>
      </c>
      <c r="O71" s="515"/>
      <c r="P71" s="516">
        <v>100</v>
      </c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 t="s">
        <v>116</v>
      </c>
      <c r="D72" s="303"/>
      <c r="E72" s="306" t="s">
        <v>127</v>
      </c>
      <c r="F72" s="518" t="s">
        <v>439</v>
      </c>
      <c r="G72" s="519"/>
      <c r="H72" s="519"/>
      <c r="I72" s="519"/>
      <c r="J72" s="520"/>
      <c r="K72" s="504" t="s">
        <v>440</v>
      </c>
      <c r="L72" s="504"/>
      <c r="M72" s="51" t="s">
        <v>316</v>
      </c>
      <c r="N72" s="515" t="s">
        <v>201</v>
      </c>
      <c r="O72" s="515"/>
      <c r="P72" s="516">
        <v>100</v>
      </c>
      <c r="Q72" s="516"/>
      <c r="R72" s="517" t="s">
        <v>441</v>
      </c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 t="s">
        <v>116</v>
      </c>
      <c r="D73" s="303"/>
      <c r="E73" s="306" t="s">
        <v>115</v>
      </c>
      <c r="F73" s="518" t="s">
        <v>442</v>
      </c>
      <c r="G73" s="519"/>
      <c r="H73" s="519"/>
      <c r="I73" s="519"/>
      <c r="J73" s="520"/>
      <c r="K73" s="504">
        <v>7301</v>
      </c>
      <c r="L73" s="504"/>
      <c r="M73" s="51" t="s">
        <v>316</v>
      </c>
      <c r="N73" s="515" t="s">
        <v>210</v>
      </c>
      <c r="O73" s="515"/>
      <c r="P73" s="516">
        <v>100</v>
      </c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 t="s">
        <v>112</v>
      </c>
      <c r="D74" s="303"/>
      <c r="E74" s="306" t="s">
        <v>115</v>
      </c>
      <c r="F74" s="518" t="s">
        <v>443</v>
      </c>
      <c r="G74" s="519"/>
      <c r="H74" s="519"/>
      <c r="I74" s="519"/>
      <c r="J74" s="520"/>
      <c r="K74" s="504" t="s">
        <v>128</v>
      </c>
      <c r="L74" s="504"/>
      <c r="M74" s="51" t="s">
        <v>292</v>
      </c>
      <c r="N74" s="515" t="s">
        <v>210</v>
      </c>
      <c r="O74" s="515"/>
      <c r="P74" s="516">
        <v>50</v>
      </c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/>
      <c r="D75" s="303"/>
      <c r="E75" s="306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/>
      <c r="D76" s="303"/>
      <c r="E76" s="306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303"/>
      <c r="E77" s="306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303"/>
      <c r="E78" s="306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303"/>
      <c r="E79" s="306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427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305" t="s">
        <v>2</v>
      </c>
      <c r="D81" s="305" t="s">
        <v>37</v>
      </c>
      <c r="E81" s="305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304"/>
      <c r="D82" s="304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303"/>
      <c r="D83" s="303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1">A83+1</f>
        <v>3</v>
      </c>
      <c r="B84" s="472"/>
      <c r="C84" s="303"/>
      <c r="D84" s="303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1"/>
        <v>4</v>
      </c>
      <c r="B85" s="472"/>
      <c r="C85" s="303"/>
      <c r="D85" s="303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1"/>
        <v>5</v>
      </c>
      <c r="B86" s="472"/>
      <c r="C86" s="303"/>
      <c r="D86" s="303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1"/>
        <v>6</v>
      </c>
      <c r="B87" s="472"/>
      <c r="C87" s="303"/>
      <c r="D87" s="303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1"/>
        <v>7</v>
      </c>
      <c r="B88" s="472"/>
      <c r="C88" s="303"/>
      <c r="D88" s="303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428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 t="s">
        <v>129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3" max="29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3BF9-0A5E-44B9-AB03-1995A7858751}">
  <sheetPr>
    <pageSetUpPr fitToPage="1"/>
  </sheetPr>
  <dimension ref="A1:AF94"/>
  <sheetViews>
    <sheetView view="pageBreakPreview" zoomScale="70" zoomScaleNormal="72" zoomScaleSheetLayoutView="70" workbookViewId="0">
      <selection activeCell="S14" sqref="S1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444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316" t="s">
        <v>17</v>
      </c>
      <c r="L5" s="316" t="s">
        <v>18</v>
      </c>
      <c r="M5" s="316" t="s">
        <v>19</v>
      </c>
      <c r="N5" s="31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163</v>
      </c>
      <c r="D6" s="52"/>
      <c r="E6" s="53" t="s">
        <v>394</v>
      </c>
      <c r="F6" s="30" t="s">
        <v>141</v>
      </c>
      <c r="G6" s="12">
        <v>1</v>
      </c>
      <c r="H6" s="13">
        <v>24</v>
      </c>
      <c r="I6" s="31">
        <v>600</v>
      </c>
      <c r="J6" s="14">
        <v>600</v>
      </c>
      <c r="K6" s="15">
        <f>L6+600</f>
        <v>600</v>
      </c>
      <c r="L6" s="15"/>
      <c r="M6" s="15">
        <f t="shared" ref="M6:M28" si="0">L6-N6</f>
        <v>0</v>
      </c>
      <c r="N6" s="15">
        <v>0</v>
      </c>
      <c r="O6" s="58" t="str">
        <f t="shared" ref="O6:O29" si="1">IF(L6=0,"0",N6/L6)</f>
        <v>0</v>
      </c>
      <c r="P6" s="39" t="str">
        <f t="shared" ref="P6:P28" si="2">IF(L6=0,"0",(24-Q6))</f>
        <v>0</v>
      </c>
      <c r="Q6" s="40">
        <f t="shared" ref="Q6:Q28" si="3">SUM(R6:AA6)</f>
        <v>24</v>
      </c>
      <c r="R6" s="7"/>
      <c r="S6" s="6"/>
      <c r="T6" s="16"/>
      <c r="U6" s="16"/>
      <c r="V6" s="17"/>
      <c r="W6" s="5"/>
      <c r="X6" s="16"/>
      <c r="Y6" s="16"/>
      <c r="Z6" s="16"/>
      <c r="AA6" s="18">
        <v>24</v>
      </c>
      <c r="AB6" s="8">
        <f t="shared" ref="AB6:AB28" si="4">IF(J6=0,"0",(L6/J6))</f>
        <v>0</v>
      </c>
      <c r="AC6" s="9">
        <f t="shared" ref="AC6:AC28" si="5">IF(P6=0,"0",(P6/24))</f>
        <v>0</v>
      </c>
      <c r="AD6" s="10">
        <f t="shared" ref="AD6:AD28" si="6">AC6*AB6*(1-O6)</f>
        <v>0</v>
      </c>
      <c r="AE6" s="36">
        <f t="shared" ref="AE6:AE28" si="7">$AD$29</f>
        <v>0.45652173913043476</v>
      </c>
      <c r="AF6" s="84">
        <f t="shared" ref="AF6:AF28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180000</v>
      </c>
      <c r="J7" s="14">
        <v>5413</v>
      </c>
      <c r="K7" s="15">
        <f>L7+4540</f>
        <v>9953</v>
      </c>
      <c r="L7" s="15">
        <f>2949+2464</f>
        <v>5413</v>
      </c>
      <c r="M7" s="15">
        <f t="shared" si="0"/>
        <v>5413</v>
      </c>
      <c r="N7" s="15">
        <v>0</v>
      </c>
      <c r="O7" s="58">
        <f t="shared" si="1"/>
        <v>0</v>
      </c>
      <c r="P7" s="39">
        <f t="shared" si="2"/>
        <v>21</v>
      </c>
      <c r="Q7" s="40">
        <f t="shared" si="3"/>
        <v>3</v>
      </c>
      <c r="R7" s="7"/>
      <c r="S7" s="6">
        <v>3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0.875</v>
      </c>
      <c r="AD7" s="10">
        <f t="shared" si="6"/>
        <v>0.875</v>
      </c>
      <c r="AE7" s="36">
        <f t="shared" si="7"/>
        <v>0.45652173913043476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160000</v>
      </c>
      <c r="J8" s="14">
        <v>11820</v>
      </c>
      <c r="K8" s="15">
        <f>L8+8132+2262+5886+10522+11854+11762+11766+11818+11592+5898+11758</f>
        <v>115070</v>
      </c>
      <c r="L8" s="15">
        <f>2945*2+2965*2</f>
        <v>11820</v>
      </c>
      <c r="M8" s="15">
        <f t="shared" si="0"/>
        <v>11820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0.45652173913043476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160000</v>
      </c>
      <c r="J9" s="14">
        <v>11770</v>
      </c>
      <c r="K9" s="15">
        <f>L9+10280+10788+10818+10814+11584+6366+11696</f>
        <v>84116</v>
      </c>
      <c r="L9" s="15">
        <f>2932*2+2953*2</f>
        <v>11770</v>
      </c>
      <c r="M9" s="15">
        <f t="shared" si="0"/>
        <v>11770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0.45652173913043476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163</v>
      </c>
      <c r="D10" s="52"/>
      <c r="E10" s="53" t="s">
        <v>204</v>
      </c>
      <c r="F10" s="30" t="s">
        <v>205</v>
      </c>
      <c r="G10" s="33">
        <v>2</v>
      </c>
      <c r="H10" s="35">
        <v>24</v>
      </c>
      <c r="I10" s="7">
        <v>100000</v>
      </c>
      <c r="J10" s="14">
        <v>10206</v>
      </c>
      <c r="K10" s="15">
        <f>L10</f>
        <v>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/>
      <c r="W10" s="5"/>
      <c r="X10" s="16"/>
      <c r="Y10" s="16"/>
      <c r="Z10" s="16"/>
      <c r="AA10" s="18">
        <v>24</v>
      </c>
      <c r="AB10" s="8">
        <f t="shared" si="4"/>
        <v>0</v>
      </c>
      <c r="AC10" s="9">
        <f t="shared" si="5"/>
        <v>0</v>
      </c>
      <c r="AD10" s="10">
        <f t="shared" si="6"/>
        <v>0</v>
      </c>
      <c r="AE10" s="36">
        <f t="shared" si="7"/>
        <v>0.45652173913043476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138</v>
      </c>
      <c r="D11" s="52" t="s">
        <v>434</v>
      </c>
      <c r="E11" s="53" t="s">
        <v>435</v>
      </c>
      <c r="F11" s="30" t="s">
        <v>140</v>
      </c>
      <c r="G11" s="33">
        <v>2</v>
      </c>
      <c r="H11" s="35">
        <v>24</v>
      </c>
      <c r="I11" s="7">
        <v>1000</v>
      </c>
      <c r="J11" s="14">
        <v>1220</v>
      </c>
      <c r="K11" s="15">
        <f>L11</f>
        <v>1220</v>
      </c>
      <c r="L11" s="15">
        <f>610*2</f>
        <v>1220</v>
      </c>
      <c r="M11" s="15">
        <f t="shared" si="0"/>
        <v>1220</v>
      </c>
      <c r="N11" s="15">
        <v>0</v>
      </c>
      <c r="O11" s="58">
        <f t="shared" si="1"/>
        <v>0</v>
      </c>
      <c r="P11" s="39">
        <f t="shared" si="2"/>
        <v>4</v>
      </c>
      <c r="Q11" s="40">
        <f t="shared" si="3"/>
        <v>20</v>
      </c>
      <c r="R11" s="7"/>
      <c r="S11" s="6"/>
      <c r="T11" s="16"/>
      <c r="U11" s="16"/>
      <c r="V11" s="17"/>
      <c r="W11" s="5">
        <v>20</v>
      </c>
      <c r="X11" s="16"/>
      <c r="Y11" s="16"/>
      <c r="Z11" s="16"/>
      <c r="AA11" s="18"/>
      <c r="AB11" s="8">
        <f t="shared" si="4"/>
        <v>1</v>
      </c>
      <c r="AC11" s="9">
        <f t="shared" si="5"/>
        <v>0.16666666666666666</v>
      </c>
      <c r="AD11" s="10">
        <f t="shared" si="6"/>
        <v>0.16666666666666666</v>
      </c>
      <c r="AE11" s="36">
        <f t="shared" si="7"/>
        <v>0.45652173913043476</v>
      </c>
      <c r="AF11" s="84">
        <f t="shared" si="8"/>
        <v>6</v>
      </c>
    </row>
    <row r="12" spans="1:32" ht="27" customHeight="1">
      <c r="A12" s="96">
        <v>6</v>
      </c>
      <c r="B12" s="11" t="s">
        <v>57</v>
      </c>
      <c r="C12" s="11" t="s">
        <v>138</v>
      </c>
      <c r="D12" s="52" t="s">
        <v>115</v>
      </c>
      <c r="E12" s="53" t="s">
        <v>445</v>
      </c>
      <c r="F12" s="30" t="s">
        <v>206</v>
      </c>
      <c r="G12" s="33">
        <v>1</v>
      </c>
      <c r="H12" s="35">
        <v>24</v>
      </c>
      <c r="I12" s="7">
        <v>2000</v>
      </c>
      <c r="J12" s="14">
        <v>4093</v>
      </c>
      <c r="K12" s="15">
        <f>L12</f>
        <v>4093</v>
      </c>
      <c r="L12" s="15">
        <f>1372+2721</f>
        <v>4093</v>
      </c>
      <c r="M12" s="15">
        <f t="shared" ref="M12" si="9">L12-N12</f>
        <v>4093</v>
      </c>
      <c r="N12" s="15">
        <v>0</v>
      </c>
      <c r="O12" s="58">
        <f t="shared" ref="O12" si="10">IF(L12=0,"0",N12/L12)</f>
        <v>0</v>
      </c>
      <c r="P12" s="39">
        <f t="shared" ref="P12" si="11">IF(L12=0,"0",(24-Q12))</f>
        <v>18</v>
      </c>
      <c r="Q12" s="40">
        <f t="shared" ref="Q12" si="12">SUM(R12:AA12)</f>
        <v>6</v>
      </c>
      <c r="R12" s="7"/>
      <c r="S12" s="6"/>
      <c r="T12" s="16">
        <v>6</v>
      </c>
      <c r="U12" s="16"/>
      <c r="V12" s="17"/>
      <c r="W12" s="5"/>
      <c r="X12" s="16"/>
      <c r="Y12" s="16"/>
      <c r="Z12" s="16"/>
      <c r="AA12" s="18"/>
      <c r="AB12" s="8">
        <f t="shared" ref="AB12" si="13">IF(J12=0,"0",(L12/J12))</f>
        <v>1</v>
      </c>
      <c r="AC12" s="9">
        <f t="shared" ref="AC12" si="14">IF(P12=0,"0",(P12/24))</f>
        <v>0.75</v>
      </c>
      <c r="AD12" s="10">
        <f t="shared" ref="AD12" si="15">AC12*AB12*(1-O12)</f>
        <v>0.75</v>
      </c>
      <c r="AE12" s="36">
        <f t="shared" si="7"/>
        <v>0.45652173913043476</v>
      </c>
      <c r="AF12" s="84">
        <f t="shared" ref="AF12" si="16">A12</f>
        <v>6</v>
      </c>
    </row>
    <row r="13" spans="1:32" ht="27" customHeight="1">
      <c r="A13" s="96">
        <v>7</v>
      </c>
      <c r="B13" s="11" t="s">
        <v>57</v>
      </c>
      <c r="C13" s="34" t="s">
        <v>138</v>
      </c>
      <c r="D13" s="52" t="s">
        <v>115</v>
      </c>
      <c r="E13" s="53" t="s">
        <v>381</v>
      </c>
      <c r="F13" s="30" t="s">
        <v>139</v>
      </c>
      <c r="G13" s="12">
        <v>2</v>
      </c>
      <c r="H13" s="13">
        <v>22</v>
      </c>
      <c r="I13" s="31">
        <v>20000</v>
      </c>
      <c r="J13" s="5">
        <v>10376</v>
      </c>
      <c r="K13" s="15">
        <f>L13+8174</f>
        <v>18550</v>
      </c>
      <c r="L13" s="15">
        <f>2569*2+2619*2</f>
        <v>10376</v>
      </c>
      <c r="M13" s="15">
        <f t="shared" si="0"/>
        <v>10376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6"/>
        <v>1</v>
      </c>
      <c r="AE13" s="36">
        <f t="shared" si="7"/>
        <v>0.45652173913043476</v>
      </c>
      <c r="AF13" s="84">
        <f t="shared" si="8"/>
        <v>7</v>
      </c>
    </row>
    <row r="14" spans="1:32" ht="27" customHeight="1">
      <c r="A14" s="96">
        <v>8</v>
      </c>
      <c r="B14" s="11" t="s">
        <v>57</v>
      </c>
      <c r="C14" s="11" t="s">
        <v>112</v>
      </c>
      <c r="D14" s="52" t="s">
        <v>123</v>
      </c>
      <c r="E14" s="53" t="s">
        <v>179</v>
      </c>
      <c r="F14" s="30" t="s">
        <v>128</v>
      </c>
      <c r="G14" s="33">
        <v>2</v>
      </c>
      <c r="H14" s="35">
        <v>35</v>
      </c>
      <c r="I14" s="7">
        <v>190000</v>
      </c>
      <c r="J14" s="14">
        <v>12308</v>
      </c>
      <c r="K14" s="15">
        <f>L14+6644+12322+12086+12660+12576+12284+12314+12182+11830+12272</f>
        <v>129478</v>
      </c>
      <c r="L14" s="15">
        <f>3071*2+3083*2</f>
        <v>12308</v>
      </c>
      <c r="M14" s="15">
        <f t="shared" si="0"/>
        <v>12308</v>
      </c>
      <c r="N14" s="15">
        <v>0</v>
      </c>
      <c r="O14" s="58">
        <f t="shared" si="1"/>
        <v>0</v>
      </c>
      <c r="P14" s="39">
        <f t="shared" si="2"/>
        <v>24</v>
      </c>
      <c r="Q14" s="40">
        <f t="shared" si="3"/>
        <v>0</v>
      </c>
      <c r="R14" s="7"/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1</v>
      </c>
      <c r="AD14" s="10">
        <f t="shared" si="6"/>
        <v>1</v>
      </c>
      <c r="AE14" s="36">
        <f t="shared" si="7"/>
        <v>0.45652173913043476</v>
      </c>
      <c r="AF14" s="84">
        <f t="shared" si="8"/>
        <v>8</v>
      </c>
    </row>
    <row r="15" spans="1:32" ht="27" customHeight="1">
      <c r="A15" s="105">
        <v>9</v>
      </c>
      <c r="B15" s="11" t="s">
        <v>57</v>
      </c>
      <c r="C15" s="34" t="s">
        <v>112</v>
      </c>
      <c r="D15" s="52" t="s">
        <v>115</v>
      </c>
      <c r="E15" s="53" t="s">
        <v>181</v>
      </c>
      <c r="F15" s="30" t="s">
        <v>171</v>
      </c>
      <c r="G15" s="33">
        <v>1</v>
      </c>
      <c r="H15" s="35">
        <v>50</v>
      </c>
      <c r="I15" s="7">
        <v>500</v>
      </c>
      <c r="J15" s="5">
        <v>608</v>
      </c>
      <c r="K15" s="15">
        <f>L15+290+608</f>
        <v>898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0.45652173913043476</v>
      </c>
      <c r="AF15" s="84">
        <f t="shared" si="8"/>
        <v>9</v>
      </c>
    </row>
    <row r="16" spans="1:32" ht="27" customHeight="1">
      <c r="A16" s="95">
        <v>10</v>
      </c>
      <c r="B16" s="11" t="s">
        <v>57</v>
      </c>
      <c r="C16" s="34" t="s">
        <v>116</v>
      </c>
      <c r="D16" s="52" t="s">
        <v>122</v>
      </c>
      <c r="E16" s="53" t="s">
        <v>136</v>
      </c>
      <c r="F16" s="30" t="s">
        <v>131</v>
      </c>
      <c r="G16" s="12">
        <v>4</v>
      </c>
      <c r="H16" s="13">
        <v>24</v>
      </c>
      <c r="I16" s="31">
        <v>12000</v>
      </c>
      <c r="J16" s="14">
        <v>12356</v>
      </c>
      <c r="K16" s="15">
        <f>L16+12356</f>
        <v>12356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0.45652173913043476</v>
      </c>
      <c r="AF16" s="84">
        <f t="shared" si="8"/>
        <v>10</v>
      </c>
    </row>
    <row r="17" spans="1:32" ht="27" customHeight="1">
      <c r="A17" s="112">
        <v>11</v>
      </c>
      <c r="B17" s="11" t="s">
        <v>57</v>
      </c>
      <c r="C17" s="34" t="s">
        <v>112</v>
      </c>
      <c r="D17" s="52" t="s">
        <v>137</v>
      </c>
      <c r="E17" s="53" t="s">
        <v>433</v>
      </c>
      <c r="F17" s="30" t="s">
        <v>140</v>
      </c>
      <c r="G17" s="12">
        <v>1</v>
      </c>
      <c r="H17" s="13">
        <v>24</v>
      </c>
      <c r="I17" s="7">
        <v>27000</v>
      </c>
      <c r="J17" s="14">
        <v>3700</v>
      </c>
      <c r="K17" s="15">
        <f>L17</f>
        <v>0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>
        <v>24</v>
      </c>
      <c r="W17" s="5"/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0.45652173913043476</v>
      </c>
      <c r="AF17" s="84">
        <f t="shared" si="8"/>
        <v>11</v>
      </c>
    </row>
    <row r="18" spans="1:32" ht="27" customHeight="1">
      <c r="A18" s="95">
        <v>12</v>
      </c>
      <c r="B18" s="11" t="s">
        <v>57</v>
      </c>
      <c r="C18" s="34" t="s">
        <v>296</v>
      </c>
      <c r="D18" s="52"/>
      <c r="E18" s="53" t="s">
        <v>297</v>
      </c>
      <c r="F18" s="30" t="s">
        <v>298</v>
      </c>
      <c r="G18" s="12">
        <v>4</v>
      </c>
      <c r="H18" s="13">
        <v>24</v>
      </c>
      <c r="I18" s="7">
        <v>40000</v>
      </c>
      <c r="J18" s="14">
        <v>12904</v>
      </c>
      <c r="K18" s="15">
        <f>L18+16652+24516+23120+24488+24556+24428+23372+24388</f>
        <v>198424</v>
      </c>
      <c r="L18" s="15">
        <f>3226*4</f>
        <v>12904</v>
      </c>
      <c r="M18" s="15">
        <f t="shared" si="0"/>
        <v>12904</v>
      </c>
      <c r="N18" s="15">
        <v>0</v>
      </c>
      <c r="O18" s="58">
        <f t="shared" si="1"/>
        <v>0</v>
      </c>
      <c r="P18" s="39">
        <f t="shared" si="2"/>
        <v>13</v>
      </c>
      <c r="Q18" s="40">
        <f t="shared" si="3"/>
        <v>11</v>
      </c>
      <c r="R18" s="7"/>
      <c r="S18" s="6"/>
      <c r="T18" s="16"/>
      <c r="U18" s="16"/>
      <c r="V18" s="17"/>
      <c r="W18" s="5">
        <v>11</v>
      </c>
      <c r="X18" s="16"/>
      <c r="Y18" s="16"/>
      <c r="Z18" s="16"/>
      <c r="AA18" s="18"/>
      <c r="AB18" s="8">
        <f t="shared" si="4"/>
        <v>1</v>
      </c>
      <c r="AC18" s="9">
        <f t="shared" si="5"/>
        <v>0.54166666666666663</v>
      </c>
      <c r="AD18" s="10">
        <f t="shared" si="6"/>
        <v>0.54166666666666663</v>
      </c>
      <c r="AE18" s="36">
        <f t="shared" si="7"/>
        <v>0.45652173913043476</v>
      </c>
      <c r="AF18" s="84">
        <f t="shared" si="8"/>
        <v>12</v>
      </c>
    </row>
    <row r="19" spans="1:32" ht="27" customHeight="1">
      <c r="A19" s="96">
        <v>13</v>
      </c>
      <c r="B19" s="11" t="s">
        <v>57</v>
      </c>
      <c r="C19" s="11" t="s">
        <v>112</v>
      </c>
      <c r="D19" s="52" t="s">
        <v>137</v>
      </c>
      <c r="E19" s="53" t="s">
        <v>191</v>
      </c>
      <c r="F19" s="30" t="s">
        <v>130</v>
      </c>
      <c r="G19" s="33">
        <v>1</v>
      </c>
      <c r="H19" s="35">
        <v>24</v>
      </c>
      <c r="I19" s="7">
        <v>180000</v>
      </c>
      <c r="J19" s="14">
        <v>8364</v>
      </c>
      <c r="K19" s="15">
        <f>L19+9952+11100+11616+11336+11468+11654+10384+11002+11590+11484+11300+9654+6186+11446</f>
        <v>158536</v>
      </c>
      <c r="L19" s="15">
        <f>2865*2+1317*2</f>
        <v>8364</v>
      </c>
      <c r="M19" s="15">
        <f t="shared" si="0"/>
        <v>8364</v>
      </c>
      <c r="N19" s="15">
        <v>0</v>
      </c>
      <c r="O19" s="58">
        <f t="shared" si="1"/>
        <v>0</v>
      </c>
      <c r="P19" s="39">
        <f t="shared" si="2"/>
        <v>18</v>
      </c>
      <c r="Q19" s="40">
        <f t="shared" si="3"/>
        <v>6</v>
      </c>
      <c r="R19" s="7"/>
      <c r="S19" s="6">
        <v>6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0.75</v>
      </c>
      <c r="AD19" s="10">
        <f t="shared" si="6"/>
        <v>0.75</v>
      </c>
      <c r="AE19" s="36">
        <f t="shared" si="7"/>
        <v>0.45652173913043476</v>
      </c>
      <c r="AF19" s="84">
        <f t="shared" si="8"/>
        <v>13</v>
      </c>
    </row>
    <row r="20" spans="1:32" ht="27" customHeight="1">
      <c r="A20" s="96">
        <v>14</v>
      </c>
      <c r="B20" s="11" t="s">
        <v>57</v>
      </c>
      <c r="C20" s="11" t="s">
        <v>112</v>
      </c>
      <c r="D20" s="52" t="s">
        <v>115</v>
      </c>
      <c r="E20" s="53" t="s">
        <v>446</v>
      </c>
      <c r="F20" s="30" t="s">
        <v>128</v>
      </c>
      <c r="G20" s="33">
        <v>1</v>
      </c>
      <c r="H20" s="35">
        <v>24</v>
      </c>
      <c r="I20" s="7">
        <v>500</v>
      </c>
      <c r="J20" s="14">
        <v>611</v>
      </c>
      <c r="K20" s="15">
        <f>L20+9274+6870+6196</f>
        <v>22951</v>
      </c>
      <c r="L20" s="15">
        <v>611</v>
      </c>
      <c r="M20" s="15">
        <f t="shared" si="0"/>
        <v>611</v>
      </c>
      <c r="N20" s="15">
        <v>0</v>
      </c>
      <c r="O20" s="58">
        <f t="shared" si="1"/>
        <v>0</v>
      </c>
      <c r="P20" s="39">
        <f t="shared" si="2"/>
        <v>14</v>
      </c>
      <c r="Q20" s="40">
        <f t="shared" si="3"/>
        <v>10</v>
      </c>
      <c r="R20" s="7"/>
      <c r="S20" s="6">
        <v>10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0.58333333333333337</v>
      </c>
      <c r="AD20" s="10">
        <f t="shared" si="6"/>
        <v>0.58333333333333337</v>
      </c>
      <c r="AE20" s="36">
        <f t="shared" si="7"/>
        <v>0.45652173913043476</v>
      </c>
      <c r="AF20" s="84">
        <f t="shared" si="8"/>
        <v>14</v>
      </c>
    </row>
    <row r="21" spans="1:32" ht="27" customHeight="1">
      <c r="A21" s="112">
        <v>15</v>
      </c>
      <c r="B21" s="11" t="s">
        <v>57</v>
      </c>
      <c r="C21" s="34" t="s">
        <v>112</v>
      </c>
      <c r="D21" s="52" t="s">
        <v>115</v>
      </c>
      <c r="E21" s="53" t="s">
        <v>178</v>
      </c>
      <c r="F21" s="30" t="s">
        <v>206</v>
      </c>
      <c r="G21" s="12">
        <v>2</v>
      </c>
      <c r="H21" s="13">
        <v>24</v>
      </c>
      <c r="I21" s="7">
        <v>230000</v>
      </c>
      <c r="J21" s="14">
        <v>7459</v>
      </c>
      <c r="K21" s="15">
        <f>L21+7008+11154+9077+8768+10676+10588+2521+7242+10236+10216+10614+10620+10632+10760+10206+10892+10136+10692+10896+9992+10630+10894</f>
        <v>221909</v>
      </c>
      <c r="L21" s="15">
        <f>1911*2+703+1467*2</f>
        <v>7459</v>
      </c>
      <c r="M21" s="15">
        <f t="shared" si="0"/>
        <v>7459</v>
      </c>
      <c r="N21" s="15">
        <v>0</v>
      </c>
      <c r="O21" s="58">
        <f t="shared" si="1"/>
        <v>0</v>
      </c>
      <c r="P21" s="39">
        <f t="shared" si="2"/>
        <v>20</v>
      </c>
      <c r="Q21" s="40">
        <f t="shared" si="3"/>
        <v>4</v>
      </c>
      <c r="R21" s="7"/>
      <c r="S21" s="6">
        <v>4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0.83333333333333337</v>
      </c>
      <c r="AD21" s="10">
        <f t="shared" si="6"/>
        <v>0.83333333333333337</v>
      </c>
      <c r="AE21" s="36">
        <f t="shared" si="7"/>
        <v>0.45652173913043476</v>
      </c>
      <c r="AF21" s="84">
        <f t="shared" si="8"/>
        <v>15</v>
      </c>
    </row>
    <row r="22" spans="1:32" ht="26.25" customHeight="1">
      <c r="A22" s="96">
        <v>16</v>
      </c>
      <c r="B22" s="11" t="s">
        <v>57</v>
      </c>
      <c r="C22" s="11" t="s">
        <v>113</v>
      </c>
      <c r="D22" s="52"/>
      <c r="E22" s="53" t="s">
        <v>299</v>
      </c>
      <c r="F22" s="12" t="s">
        <v>114</v>
      </c>
      <c r="G22" s="12">
        <v>3</v>
      </c>
      <c r="H22" s="35">
        <v>20</v>
      </c>
      <c r="I22" s="7">
        <v>1000000</v>
      </c>
      <c r="J22" s="14">
        <v>62232</v>
      </c>
      <c r="K22" s="15">
        <f>L22+56500+55900+61924</f>
        <v>236556</v>
      </c>
      <c r="L22" s="15">
        <f>7807*4+7751*4</f>
        <v>62232</v>
      </c>
      <c r="M22" s="15">
        <f t="shared" si="0"/>
        <v>62232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6"/>
        <v>1</v>
      </c>
      <c r="AE22" s="36">
        <f t="shared" si="7"/>
        <v>0.45652173913043476</v>
      </c>
      <c r="AF22" s="84">
        <f t="shared" si="8"/>
        <v>16</v>
      </c>
    </row>
    <row r="23" spans="1:32" ht="18.75">
      <c r="A23" s="96">
        <v>31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0.45652173913043476</v>
      </c>
      <c r="AF23" s="84">
        <f t="shared" si="8"/>
        <v>31</v>
      </c>
    </row>
    <row r="24" spans="1:32" ht="18.75">
      <c r="A24" s="96">
        <v>32</v>
      </c>
      <c r="B24" s="11" t="s">
        <v>57</v>
      </c>
      <c r="C24" s="11"/>
      <c r="D24" s="52"/>
      <c r="E24" s="53"/>
      <c r="F24" s="12"/>
      <c r="G24" s="12"/>
      <c r="H24" s="35">
        <v>20</v>
      </c>
      <c r="I24" s="7"/>
      <c r="J24" s="14">
        <v>0</v>
      </c>
      <c r="K24" s="15">
        <f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>
        <v>24</v>
      </c>
      <c r="W24" s="5"/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0.45652173913043476</v>
      </c>
      <c r="AF24" s="84">
        <f t="shared" si="8"/>
        <v>32</v>
      </c>
    </row>
    <row r="25" spans="1:32" ht="18.75">
      <c r="A25" s="96">
        <v>33</v>
      </c>
      <c r="B25" s="11" t="s">
        <v>57</v>
      </c>
      <c r="C25" s="11" t="s">
        <v>116</v>
      </c>
      <c r="D25" s="52" t="s">
        <v>142</v>
      </c>
      <c r="E25" s="53" t="s">
        <v>146</v>
      </c>
      <c r="F25" s="12" t="s">
        <v>140</v>
      </c>
      <c r="G25" s="12">
        <v>1</v>
      </c>
      <c r="H25" s="35">
        <v>20</v>
      </c>
      <c r="I25" s="7">
        <v>140000</v>
      </c>
      <c r="J25" s="14">
        <v>3244</v>
      </c>
      <c r="K25" s="15">
        <f>L25+4387+7770+5806+7905+7479+7369+7360+2397+6904+7208+7013+6976+6992+2652+6495+7026+7051+7084+4297+6519+7042+3244</f>
        <v>136976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0.45652173913043476</v>
      </c>
      <c r="AF25" s="84">
        <f t="shared" si="8"/>
        <v>33</v>
      </c>
    </row>
    <row r="26" spans="1:32" ht="28.5">
      <c r="A26" s="96">
        <v>34</v>
      </c>
      <c r="B26" s="11" t="s">
        <v>57</v>
      </c>
      <c r="C26" s="11" t="s">
        <v>116</v>
      </c>
      <c r="D26" s="52" t="s">
        <v>142</v>
      </c>
      <c r="E26" s="53" t="s">
        <v>147</v>
      </c>
      <c r="F26" s="12" t="s">
        <v>131</v>
      </c>
      <c r="G26" s="12">
        <v>4</v>
      </c>
      <c r="H26" s="35">
        <v>20</v>
      </c>
      <c r="I26" s="7">
        <v>240000</v>
      </c>
      <c r="J26" s="14">
        <v>9988</v>
      </c>
      <c r="K26" s="15">
        <f>L26+24768+29084+29040+29804+27780+4064+26996+28972+25428+29132+9988</f>
        <v>265056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0.45652173913043476</v>
      </c>
      <c r="AF26" s="84">
        <f t="shared" si="8"/>
        <v>34</v>
      </c>
    </row>
    <row r="27" spans="1:32" ht="28.5">
      <c r="A27" s="96">
        <v>35</v>
      </c>
      <c r="B27" s="11" t="s">
        <v>57</v>
      </c>
      <c r="C27" s="11" t="s">
        <v>116</v>
      </c>
      <c r="D27" s="52" t="s">
        <v>122</v>
      </c>
      <c r="E27" s="53" t="s">
        <v>133</v>
      </c>
      <c r="F27" s="12" t="s">
        <v>131</v>
      </c>
      <c r="G27" s="12">
        <v>4</v>
      </c>
      <c r="H27" s="35">
        <v>20</v>
      </c>
      <c r="I27" s="7">
        <v>240000</v>
      </c>
      <c r="J27" s="14">
        <v>11600</v>
      </c>
      <c r="K27" s="15">
        <f>L27+25004+29968+31848+29672+31736+27000+29200+29420+29140+11600</f>
        <v>274588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0.45652173913043476</v>
      </c>
      <c r="AF27" s="84">
        <f t="shared" si="8"/>
        <v>35</v>
      </c>
    </row>
    <row r="28" spans="1:32" ht="19.5" thickBot="1">
      <c r="A28" s="96">
        <v>36</v>
      </c>
      <c r="B28" s="11" t="s">
        <v>57</v>
      </c>
      <c r="C28" s="11" t="s">
        <v>173</v>
      </c>
      <c r="D28" s="52"/>
      <c r="E28" s="53" t="s">
        <v>174</v>
      </c>
      <c r="F28" s="12" t="s">
        <v>175</v>
      </c>
      <c r="G28" s="12">
        <v>32</v>
      </c>
      <c r="H28" s="35">
        <v>20</v>
      </c>
      <c r="I28" s="7">
        <v>1300000</v>
      </c>
      <c r="J28" s="14">
        <v>492600</v>
      </c>
      <c r="K28" s="15">
        <f>L28+356070+486150</f>
        <v>1334820</v>
      </c>
      <c r="L28" s="15">
        <f>9539*30+6881*30</f>
        <v>492600</v>
      </c>
      <c r="M28" s="15">
        <f t="shared" si="0"/>
        <v>492600</v>
      </c>
      <c r="N28" s="15">
        <v>0</v>
      </c>
      <c r="O28" s="58">
        <f t="shared" si="1"/>
        <v>0</v>
      </c>
      <c r="P28" s="39">
        <f t="shared" si="2"/>
        <v>24</v>
      </c>
      <c r="Q28" s="40">
        <f t="shared" si="3"/>
        <v>0</v>
      </c>
      <c r="R28" s="7"/>
      <c r="S28" s="6"/>
      <c r="T28" s="16"/>
      <c r="U28" s="16"/>
      <c r="V28" s="120"/>
      <c r="W28" s="5"/>
      <c r="X28" s="16"/>
      <c r="Y28" s="16"/>
      <c r="Z28" s="16"/>
      <c r="AA28" s="18"/>
      <c r="AB28" s="8">
        <f t="shared" si="4"/>
        <v>1</v>
      </c>
      <c r="AC28" s="9">
        <f t="shared" si="5"/>
        <v>1</v>
      </c>
      <c r="AD28" s="10">
        <f t="shared" si="6"/>
        <v>1</v>
      </c>
      <c r="AE28" s="36">
        <f t="shared" si="7"/>
        <v>0.45652173913043476</v>
      </c>
      <c r="AF28" s="84">
        <f t="shared" si="8"/>
        <v>36</v>
      </c>
    </row>
    <row r="29" spans="1:32" ht="19.5" thickBot="1">
      <c r="A29" s="549" t="s">
        <v>34</v>
      </c>
      <c r="B29" s="550"/>
      <c r="C29" s="550"/>
      <c r="D29" s="550"/>
      <c r="E29" s="550"/>
      <c r="F29" s="550"/>
      <c r="G29" s="550"/>
      <c r="H29" s="551"/>
      <c r="I29" s="22">
        <f t="shared" ref="I29:N29" si="17">SUM(I6:I28)</f>
        <v>4223600</v>
      </c>
      <c r="J29" s="19">
        <f t="shared" si="17"/>
        <v>693472</v>
      </c>
      <c r="K29" s="20">
        <f t="shared" si="17"/>
        <v>3226150</v>
      </c>
      <c r="L29" s="21">
        <f t="shared" si="17"/>
        <v>641170</v>
      </c>
      <c r="M29" s="20">
        <f t="shared" si="17"/>
        <v>641170</v>
      </c>
      <c r="N29" s="21">
        <f t="shared" si="17"/>
        <v>0</v>
      </c>
      <c r="O29" s="41">
        <f t="shared" si="1"/>
        <v>0</v>
      </c>
      <c r="P29" s="42">
        <f t="shared" ref="P29:AA29" si="18">SUM(P6:P28)</f>
        <v>252</v>
      </c>
      <c r="Q29" s="43">
        <f t="shared" si="18"/>
        <v>300</v>
      </c>
      <c r="R29" s="23">
        <f t="shared" si="18"/>
        <v>0</v>
      </c>
      <c r="S29" s="24">
        <f t="shared" si="18"/>
        <v>23</v>
      </c>
      <c r="T29" s="24">
        <f t="shared" si="18"/>
        <v>6</v>
      </c>
      <c r="U29" s="24">
        <f t="shared" si="18"/>
        <v>0</v>
      </c>
      <c r="V29" s="25">
        <f t="shared" si="18"/>
        <v>72</v>
      </c>
      <c r="W29" s="26">
        <f t="shared" si="18"/>
        <v>151</v>
      </c>
      <c r="X29" s="27">
        <f t="shared" si="18"/>
        <v>0</v>
      </c>
      <c r="Y29" s="27">
        <f t="shared" si="18"/>
        <v>0</v>
      </c>
      <c r="Z29" s="27">
        <f t="shared" si="18"/>
        <v>0</v>
      </c>
      <c r="AA29" s="27">
        <f t="shared" si="18"/>
        <v>48</v>
      </c>
      <c r="AB29" s="28">
        <f>AVERAGE(AB6:AB28)</f>
        <v>0.61904761904761907</v>
      </c>
      <c r="AC29" s="4">
        <f>AVERAGE(AC6:AC28)</f>
        <v>0.45652173913043476</v>
      </c>
      <c r="AD29" s="4">
        <f>AVERAGE(AD6:AD28)</f>
        <v>0.45652173913043476</v>
      </c>
      <c r="AE29" s="29"/>
    </row>
    <row r="30" spans="1:32">
      <c r="T30" s="50" t="s">
        <v>143</v>
      </c>
    </row>
    <row r="31" spans="1:32" ht="18.75">
      <c r="A31" s="2"/>
      <c r="B31" s="2" t="s">
        <v>35</v>
      </c>
      <c r="C31" s="2"/>
      <c r="D31" s="2"/>
      <c r="E31" s="2"/>
      <c r="F31" s="2"/>
      <c r="G31" s="2"/>
      <c r="H31" s="3"/>
      <c r="I31" s="3"/>
      <c r="J31" s="2"/>
      <c r="K31" s="2"/>
      <c r="L31" s="2"/>
      <c r="M31" s="2"/>
      <c r="N31" s="2" t="s">
        <v>36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1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 t="s">
        <v>144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85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27">
      <c r="A46" s="59"/>
      <c r="B46" s="59"/>
      <c r="C46" s="59"/>
      <c r="D46" s="59"/>
      <c r="E46" s="59"/>
      <c r="F46" s="37"/>
      <c r="G46" s="37"/>
      <c r="H46" s="38"/>
      <c r="I46" s="38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F46" s="50"/>
    </row>
    <row r="47" spans="1:32" ht="29.25" customHeight="1">
      <c r="A47" s="60"/>
      <c r="B47" s="60"/>
      <c r="C47" s="61"/>
      <c r="D47" s="61"/>
      <c r="E47" s="61"/>
      <c r="F47" s="60"/>
      <c r="G47" s="60"/>
      <c r="H47" s="60"/>
      <c r="I47" s="60"/>
      <c r="J47" s="60"/>
      <c r="K47" s="60"/>
      <c r="L47" s="60"/>
      <c r="M47" s="61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4.2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36" thickBot="1">
      <c r="A56" s="552" t="s">
        <v>45</v>
      </c>
      <c r="B56" s="552"/>
      <c r="C56" s="552"/>
      <c r="D56" s="552"/>
      <c r="E56" s="552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26.25" thickBot="1">
      <c r="A57" s="553" t="s">
        <v>447</v>
      </c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5"/>
      <c r="N57" s="556" t="s">
        <v>448</v>
      </c>
      <c r="O57" s="557"/>
      <c r="P57" s="557"/>
      <c r="Q57" s="557"/>
      <c r="R57" s="557"/>
      <c r="S57" s="557"/>
      <c r="T57" s="557"/>
      <c r="U57" s="557"/>
      <c r="V57" s="557"/>
      <c r="W57" s="557"/>
      <c r="X57" s="557"/>
      <c r="Y57" s="557"/>
      <c r="Z57" s="557"/>
      <c r="AA57" s="557"/>
      <c r="AB57" s="557"/>
      <c r="AC57" s="557"/>
      <c r="AD57" s="558"/>
    </row>
    <row r="58" spans="1:32" ht="27" customHeight="1">
      <c r="A58" s="559" t="s">
        <v>2</v>
      </c>
      <c r="B58" s="560"/>
      <c r="C58" s="317" t="s">
        <v>46</v>
      </c>
      <c r="D58" s="317" t="s">
        <v>47</v>
      </c>
      <c r="E58" s="317" t="s">
        <v>107</v>
      </c>
      <c r="F58" s="561" t="s">
        <v>106</v>
      </c>
      <c r="G58" s="562"/>
      <c r="H58" s="562"/>
      <c r="I58" s="562"/>
      <c r="J58" s="562"/>
      <c r="K58" s="562"/>
      <c r="L58" s="562"/>
      <c r="M58" s="563"/>
      <c r="N58" s="67" t="s">
        <v>110</v>
      </c>
      <c r="O58" s="317" t="s">
        <v>46</v>
      </c>
      <c r="P58" s="561" t="s">
        <v>47</v>
      </c>
      <c r="Q58" s="564"/>
      <c r="R58" s="561" t="s">
        <v>38</v>
      </c>
      <c r="S58" s="562"/>
      <c r="T58" s="562"/>
      <c r="U58" s="564"/>
      <c r="V58" s="561" t="s">
        <v>48</v>
      </c>
      <c r="W58" s="562"/>
      <c r="X58" s="562"/>
      <c r="Y58" s="562"/>
      <c r="Z58" s="562"/>
      <c r="AA58" s="562"/>
      <c r="AB58" s="562"/>
      <c r="AC58" s="562"/>
      <c r="AD58" s="563"/>
    </row>
    <row r="59" spans="1:32" ht="27" customHeight="1">
      <c r="A59" s="543" t="s">
        <v>138</v>
      </c>
      <c r="B59" s="533"/>
      <c r="C59" s="320" t="s">
        <v>217</v>
      </c>
      <c r="D59" s="320" t="s">
        <v>142</v>
      </c>
      <c r="E59" s="320" t="s">
        <v>241</v>
      </c>
      <c r="F59" s="530" t="s">
        <v>449</v>
      </c>
      <c r="G59" s="531"/>
      <c r="H59" s="531"/>
      <c r="I59" s="531"/>
      <c r="J59" s="531"/>
      <c r="K59" s="531"/>
      <c r="L59" s="531"/>
      <c r="M59" s="532"/>
      <c r="N59" s="319" t="s">
        <v>112</v>
      </c>
      <c r="O59" s="325" t="s">
        <v>346</v>
      </c>
      <c r="P59" s="544" t="s">
        <v>115</v>
      </c>
      <c r="Q59" s="545"/>
      <c r="R59" s="544" t="s">
        <v>413</v>
      </c>
      <c r="S59" s="546"/>
      <c r="T59" s="546"/>
      <c r="U59" s="545"/>
      <c r="V59" s="517" t="s">
        <v>120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138</v>
      </c>
      <c r="B60" s="533"/>
      <c r="C60" s="320" t="s">
        <v>201</v>
      </c>
      <c r="D60" s="320" t="s">
        <v>434</v>
      </c>
      <c r="E60" s="320" t="s">
        <v>435</v>
      </c>
      <c r="F60" s="530" t="s">
        <v>124</v>
      </c>
      <c r="G60" s="531"/>
      <c r="H60" s="531"/>
      <c r="I60" s="531"/>
      <c r="J60" s="531"/>
      <c r="K60" s="531"/>
      <c r="L60" s="531"/>
      <c r="M60" s="532"/>
      <c r="N60" s="319" t="s">
        <v>112</v>
      </c>
      <c r="O60" s="325" t="s">
        <v>210</v>
      </c>
      <c r="P60" s="544" t="s">
        <v>137</v>
      </c>
      <c r="Q60" s="545"/>
      <c r="R60" s="544" t="s">
        <v>433</v>
      </c>
      <c r="S60" s="546"/>
      <c r="T60" s="546"/>
      <c r="U60" s="545"/>
      <c r="V60" s="517" t="s">
        <v>124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138</v>
      </c>
      <c r="B61" s="533"/>
      <c r="C61" s="320" t="s">
        <v>201</v>
      </c>
      <c r="D61" s="320" t="s">
        <v>115</v>
      </c>
      <c r="E61" s="320" t="s">
        <v>445</v>
      </c>
      <c r="F61" s="530" t="s">
        <v>124</v>
      </c>
      <c r="G61" s="531"/>
      <c r="H61" s="531"/>
      <c r="I61" s="531"/>
      <c r="J61" s="531"/>
      <c r="K61" s="531"/>
      <c r="L61" s="531"/>
      <c r="M61" s="532"/>
      <c r="N61" s="319" t="s">
        <v>116</v>
      </c>
      <c r="O61" s="325" t="s">
        <v>201</v>
      </c>
      <c r="P61" s="544" t="s">
        <v>135</v>
      </c>
      <c r="Q61" s="545"/>
      <c r="R61" s="544" t="s">
        <v>430</v>
      </c>
      <c r="S61" s="546"/>
      <c r="T61" s="546"/>
      <c r="U61" s="545"/>
      <c r="V61" s="517" t="s">
        <v>120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 t="s">
        <v>112</v>
      </c>
      <c r="B62" s="533"/>
      <c r="C62" s="320" t="s">
        <v>167</v>
      </c>
      <c r="D62" s="320" t="s">
        <v>137</v>
      </c>
      <c r="E62" s="320" t="s">
        <v>450</v>
      </c>
      <c r="F62" s="530" t="s">
        <v>302</v>
      </c>
      <c r="G62" s="531"/>
      <c r="H62" s="531"/>
      <c r="I62" s="531"/>
      <c r="J62" s="531"/>
      <c r="K62" s="531"/>
      <c r="L62" s="531"/>
      <c r="M62" s="532"/>
      <c r="N62" s="319" t="s">
        <v>138</v>
      </c>
      <c r="O62" s="325" t="s">
        <v>217</v>
      </c>
      <c r="P62" s="544" t="s">
        <v>142</v>
      </c>
      <c r="Q62" s="545"/>
      <c r="R62" s="544" t="s">
        <v>241</v>
      </c>
      <c r="S62" s="546"/>
      <c r="T62" s="546"/>
      <c r="U62" s="545"/>
      <c r="V62" s="517" t="s">
        <v>120</v>
      </c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 t="s">
        <v>112</v>
      </c>
      <c r="B63" s="533"/>
      <c r="C63" s="320" t="s">
        <v>161</v>
      </c>
      <c r="D63" s="320" t="s">
        <v>115</v>
      </c>
      <c r="E63" s="320" t="s">
        <v>446</v>
      </c>
      <c r="F63" s="530" t="s">
        <v>451</v>
      </c>
      <c r="G63" s="531"/>
      <c r="H63" s="531"/>
      <c r="I63" s="531"/>
      <c r="J63" s="531"/>
      <c r="K63" s="531"/>
      <c r="L63" s="531"/>
      <c r="M63" s="532"/>
      <c r="N63" s="319" t="s">
        <v>138</v>
      </c>
      <c r="O63" s="325" t="s">
        <v>164</v>
      </c>
      <c r="P63" s="544" t="s">
        <v>244</v>
      </c>
      <c r="Q63" s="545"/>
      <c r="R63" s="544" t="s">
        <v>452</v>
      </c>
      <c r="S63" s="546"/>
      <c r="T63" s="546"/>
      <c r="U63" s="545"/>
      <c r="V63" s="517" t="s">
        <v>124</v>
      </c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 t="s">
        <v>112</v>
      </c>
      <c r="B64" s="533"/>
      <c r="C64" s="320" t="s">
        <v>346</v>
      </c>
      <c r="D64" s="320" t="s">
        <v>115</v>
      </c>
      <c r="E64" s="320" t="s">
        <v>178</v>
      </c>
      <c r="F64" s="530" t="s">
        <v>449</v>
      </c>
      <c r="G64" s="531"/>
      <c r="H64" s="531"/>
      <c r="I64" s="531"/>
      <c r="J64" s="531"/>
      <c r="K64" s="531"/>
      <c r="L64" s="531"/>
      <c r="M64" s="532"/>
      <c r="N64" s="319"/>
      <c r="O64" s="325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43"/>
      <c r="B65" s="533"/>
      <c r="C65" s="320"/>
      <c r="D65" s="320"/>
      <c r="E65" s="320"/>
      <c r="F65" s="530"/>
      <c r="G65" s="531"/>
      <c r="H65" s="531"/>
      <c r="I65" s="531"/>
      <c r="J65" s="531"/>
      <c r="K65" s="531"/>
      <c r="L65" s="531"/>
      <c r="M65" s="532"/>
      <c r="N65" s="319"/>
      <c r="O65" s="325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318"/>
      <c r="D66" s="318"/>
      <c r="E66" s="320"/>
      <c r="F66" s="530"/>
      <c r="G66" s="531"/>
      <c r="H66" s="531"/>
      <c r="I66" s="531"/>
      <c r="J66" s="531"/>
      <c r="K66" s="531"/>
      <c r="L66" s="531"/>
      <c r="M66" s="532"/>
      <c r="N66" s="319"/>
      <c r="O66" s="325"/>
      <c r="P66" s="544"/>
      <c r="Q66" s="545"/>
      <c r="R66" s="544"/>
      <c r="S66" s="546"/>
      <c r="T66" s="546"/>
      <c r="U66" s="545"/>
      <c r="V66" s="517"/>
      <c r="W66" s="517"/>
      <c r="X66" s="517"/>
      <c r="Y66" s="517"/>
      <c r="Z66" s="517"/>
      <c r="AA66" s="517"/>
      <c r="AB66" s="517"/>
      <c r="AC66" s="517"/>
      <c r="AD66" s="534"/>
    </row>
    <row r="67" spans="1:32" ht="27" customHeight="1">
      <c r="A67" s="528"/>
      <c r="B67" s="529"/>
      <c r="C67" s="318"/>
      <c r="D67" s="318"/>
      <c r="E67" s="320"/>
      <c r="F67" s="530"/>
      <c r="G67" s="531"/>
      <c r="H67" s="531"/>
      <c r="I67" s="531"/>
      <c r="J67" s="531"/>
      <c r="K67" s="531"/>
      <c r="L67" s="531"/>
      <c r="M67" s="532"/>
      <c r="N67" s="319"/>
      <c r="O67" s="325"/>
      <c r="P67" s="533"/>
      <c r="Q67" s="533"/>
      <c r="R67" s="533"/>
      <c r="S67" s="533"/>
      <c r="T67" s="533"/>
      <c r="U67" s="533"/>
      <c r="V67" s="517"/>
      <c r="W67" s="517"/>
      <c r="X67" s="517"/>
      <c r="Y67" s="517"/>
      <c r="Z67" s="517"/>
      <c r="AA67" s="517"/>
      <c r="AB67" s="517"/>
      <c r="AC67" s="517"/>
      <c r="AD67" s="534"/>
      <c r="AF67" s="84">
        <f>8*3000</f>
        <v>24000</v>
      </c>
    </row>
    <row r="68" spans="1:32" ht="27" customHeight="1" thickBot="1">
      <c r="A68" s="535"/>
      <c r="B68" s="536"/>
      <c r="C68" s="321"/>
      <c r="D68" s="322"/>
      <c r="E68" s="321"/>
      <c r="F68" s="537"/>
      <c r="G68" s="538"/>
      <c r="H68" s="538"/>
      <c r="I68" s="538"/>
      <c r="J68" s="538"/>
      <c r="K68" s="538"/>
      <c r="L68" s="538"/>
      <c r="M68" s="539"/>
      <c r="N68" s="111"/>
      <c r="O68" s="103"/>
      <c r="P68" s="540"/>
      <c r="Q68" s="540"/>
      <c r="R68" s="540"/>
      <c r="S68" s="540"/>
      <c r="T68" s="540"/>
      <c r="U68" s="540"/>
      <c r="V68" s="541"/>
      <c r="W68" s="541"/>
      <c r="X68" s="541"/>
      <c r="Y68" s="541"/>
      <c r="Z68" s="541"/>
      <c r="AA68" s="541"/>
      <c r="AB68" s="541"/>
      <c r="AC68" s="541"/>
      <c r="AD68" s="542"/>
      <c r="AF68" s="84">
        <f>16*3000</f>
        <v>48000</v>
      </c>
    </row>
    <row r="69" spans="1:32" ht="27.75" thickBot="1">
      <c r="A69" s="526" t="s">
        <v>453</v>
      </c>
      <c r="B69" s="526"/>
      <c r="C69" s="526"/>
      <c r="D69" s="526"/>
      <c r="E69" s="526"/>
      <c r="F69" s="37"/>
      <c r="G69" s="37"/>
      <c r="H69" s="38"/>
      <c r="I69" s="38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F69" s="84">
        <v>24000</v>
      </c>
    </row>
    <row r="70" spans="1:32" ht="29.25" customHeight="1" thickBot="1">
      <c r="A70" s="527" t="s">
        <v>111</v>
      </c>
      <c r="B70" s="524"/>
      <c r="C70" s="323" t="s">
        <v>2</v>
      </c>
      <c r="D70" s="323" t="s">
        <v>37</v>
      </c>
      <c r="E70" s="323" t="s">
        <v>3</v>
      </c>
      <c r="F70" s="524" t="s">
        <v>109</v>
      </c>
      <c r="G70" s="524"/>
      <c r="H70" s="524"/>
      <c r="I70" s="524"/>
      <c r="J70" s="524"/>
      <c r="K70" s="524" t="s">
        <v>39</v>
      </c>
      <c r="L70" s="524"/>
      <c r="M70" s="323" t="s">
        <v>40</v>
      </c>
      <c r="N70" s="524" t="s">
        <v>41</v>
      </c>
      <c r="O70" s="524"/>
      <c r="P70" s="521" t="s">
        <v>42</v>
      </c>
      <c r="Q70" s="523"/>
      <c r="R70" s="521" t="s">
        <v>43</v>
      </c>
      <c r="S70" s="522"/>
      <c r="T70" s="522"/>
      <c r="U70" s="522"/>
      <c r="V70" s="522"/>
      <c r="W70" s="522"/>
      <c r="X70" s="522"/>
      <c r="Y70" s="522"/>
      <c r="Z70" s="522"/>
      <c r="AA70" s="523"/>
      <c r="AB70" s="524" t="s">
        <v>44</v>
      </c>
      <c r="AC70" s="524"/>
      <c r="AD70" s="525"/>
      <c r="AF70" s="84">
        <f>SUM(AF67:AF69)</f>
        <v>96000</v>
      </c>
    </row>
    <row r="71" spans="1:32" ht="25.5" customHeight="1">
      <c r="A71" s="512">
        <v>1</v>
      </c>
      <c r="B71" s="513"/>
      <c r="C71" s="104" t="s">
        <v>112</v>
      </c>
      <c r="D71" s="327"/>
      <c r="E71" s="324" t="s">
        <v>244</v>
      </c>
      <c r="F71" s="518" t="s">
        <v>454</v>
      </c>
      <c r="G71" s="519"/>
      <c r="H71" s="519"/>
      <c r="I71" s="519"/>
      <c r="J71" s="520"/>
      <c r="K71" s="504" t="s">
        <v>141</v>
      </c>
      <c r="L71" s="504"/>
      <c r="M71" s="51" t="s">
        <v>316</v>
      </c>
      <c r="N71" s="515" t="s">
        <v>307</v>
      </c>
      <c r="O71" s="515"/>
      <c r="P71" s="516"/>
      <c r="Q71" s="516"/>
      <c r="R71" s="517" t="s">
        <v>368</v>
      </c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2</v>
      </c>
      <c r="B72" s="513"/>
      <c r="C72" s="104" t="s">
        <v>116</v>
      </c>
      <c r="D72" s="327"/>
      <c r="E72" s="324" t="s">
        <v>434</v>
      </c>
      <c r="F72" s="518" t="s">
        <v>455</v>
      </c>
      <c r="G72" s="519"/>
      <c r="H72" s="519"/>
      <c r="I72" s="519"/>
      <c r="J72" s="520"/>
      <c r="K72" s="504" t="s">
        <v>130</v>
      </c>
      <c r="L72" s="504"/>
      <c r="M72" s="51" t="s">
        <v>438</v>
      </c>
      <c r="N72" s="515" t="s">
        <v>201</v>
      </c>
      <c r="O72" s="515"/>
      <c r="P72" s="516">
        <v>140</v>
      </c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3</v>
      </c>
      <c r="B73" s="513"/>
      <c r="C73" s="104" t="s">
        <v>232</v>
      </c>
      <c r="D73" s="327"/>
      <c r="E73" s="324" t="s">
        <v>457</v>
      </c>
      <c r="F73" s="518" t="s">
        <v>456</v>
      </c>
      <c r="G73" s="519"/>
      <c r="H73" s="519"/>
      <c r="I73" s="519"/>
      <c r="J73" s="520"/>
      <c r="K73" s="504">
        <v>7301</v>
      </c>
      <c r="L73" s="504"/>
      <c r="M73" s="51" t="s">
        <v>216</v>
      </c>
      <c r="N73" s="515" t="s">
        <v>158</v>
      </c>
      <c r="O73" s="515"/>
      <c r="P73" s="516">
        <v>50</v>
      </c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4</v>
      </c>
      <c r="B74" s="513"/>
      <c r="C74" s="104"/>
      <c r="D74" s="327"/>
      <c r="E74" s="324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5</v>
      </c>
      <c r="B75" s="513"/>
      <c r="C75" s="104"/>
      <c r="D75" s="327"/>
      <c r="E75" s="324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6</v>
      </c>
      <c r="B76" s="513"/>
      <c r="C76" s="104"/>
      <c r="D76" s="327"/>
      <c r="E76" s="324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7</v>
      </c>
      <c r="B77" s="513"/>
      <c r="C77" s="104"/>
      <c r="D77" s="327"/>
      <c r="E77" s="324"/>
      <c r="F77" s="518"/>
      <c r="G77" s="519"/>
      <c r="H77" s="519"/>
      <c r="I77" s="519"/>
      <c r="J77" s="520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8</v>
      </c>
      <c r="B78" s="513"/>
      <c r="C78" s="104"/>
      <c r="D78" s="327"/>
      <c r="E78" s="324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9</v>
      </c>
      <c r="B79" s="513"/>
      <c r="C79" s="104"/>
      <c r="D79" s="327"/>
      <c r="E79" s="324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5.5" customHeight="1">
      <c r="A80" s="512">
        <v>10</v>
      </c>
      <c r="B80" s="513"/>
      <c r="C80" s="104"/>
      <c r="D80" s="327"/>
      <c r="E80" s="324"/>
      <c r="F80" s="514"/>
      <c r="G80" s="504"/>
      <c r="H80" s="504"/>
      <c r="I80" s="504"/>
      <c r="J80" s="504"/>
      <c r="K80" s="504"/>
      <c r="L80" s="504"/>
      <c r="M80" s="51"/>
      <c r="N80" s="515"/>
      <c r="O80" s="515"/>
      <c r="P80" s="516"/>
      <c r="Q80" s="516"/>
      <c r="R80" s="517"/>
      <c r="S80" s="517"/>
      <c r="T80" s="517"/>
      <c r="U80" s="517"/>
      <c r="V80" s="517"/>
      <c r="W80" s="517"/>
      <c r="X80" s="517"/>
      <c r="Y80" s="517"/>
      <c r="Z80" s="517"/>
      <c r="AA80" s="517"/>
      <c r="AB80" s="504"/>
      <c r="AC80" s="504"/>
      <c r="AD80" s="505"/>
      <c r="AF80" s="50"/>
    </row>
    <row r="81" spans="1:32" ht="26.25" customHeight="1" thickBot="1">
      <c r="A81" s="484" t="s">
        <v>458</v>
      </c>
      <c r="B81" s="484"/>
      <c r="C81" s="484"/>
      <c r="D81" s="484"/>
      <c r="E81" s="484"/>
      <c r="F81" s="37"/>
      <c r="G81" s="37"/>
      <c r="H81" s="38"/>
      <c r="I81" s="38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F81" s="50"/>
    </row>
    <row r="82" spans="1:32" ht="23.25" thickBot="1">
      <c r="A82" s="506" t="s">
        <v>111</v>
      </c>
      <c r="B82" s="507"/>
      <c r="C82" s="326" t="s">
        <v>2</v>
      </c>
      <c r="D82" s="326" t="s">
        <v>37</v>
      </c>
      <c r="E82" s="326" t="s">
        <v>121</v>
      </c>
      <c r="F82" s="486" t="s">
        <v>38</v>
      </c>
      <c r="G82" s="486"/>
      <c r="H82" s="486"/>
      <c r="I82" s="486"/>
      <c r="J82" s="486"/>
      <c r="K82" s="508" t="s">
        <v>58</v>
      </c>
      <c r="L82" s="509"/>
      <c r="M82" s="509"/>
      <c r="N82" s="509"/>
      <c r="O82" s="509"/>
      <c r="P82" s="509"/>
      <c r="Q82" s="509"/>
      <c r="R82" s="509"/>
      <c r="S82" s="510"/>
      <c r="T82" s="486" t="s">
        <v>49</v>
      </c>
      <c r="U82" s="486"/>
      <c r="V82" s="508" t="s">
        <v>50</v>
      </c>
      <c r="W82" s="510"/>
      <c r="X82" s="509" t="s">
        <v>51</v>
      </c>
      <c r="Y82" s="509"/>
      <c r="Z82" s="509"/>
      <c r="AA82" s="509"/>
      <c r="AB82" s="509"/>
      <c r="AC82" s="509"/>
      <c r="AD82" s="511"/>
      <c r="AF82" s="50"/>
    </row>
    <row r="83" spans="1:32" ht="33.75" customHeight="1">
      <c r="A83" s="478">
        <v>1</v>
      </c>
      <c r="B83" s="479"/>
      <c r="C83" s="328"/>
      <c r="D83" s="328"/>
      <c r="E83" s="65"/>
      <c r="F83" s="493"/>
      <c r="G83" s="494"/>
      <c r="H83" s="494"/>
      <c r="I83" s="494"/>
      <c r="J83" s="495"/>
      <c r="K83" s="496"/>
      <c r="L83" s="497"/>
      <c r="M83" s="497"/>
      <c r="N83" s="497"/>
      <c r="O83" s="497"/>
      <c r="P83" s="497"/>
      <c r="Q83" s="497"/>
      <c r="R83" s="497"/>
      <c r="S83" s="498"/>
      <c r="T83" s="499"/>
      <c r="U83" s="500"/>
      <c r="V83" s="501"/>
      <c r="W83" s="501"/>
      <c r="X83" s="502"/>
      <c r="Y83" s="502"/>
      <c r="Z83" s="502"/>
      <c r="AA83" s="502"/>
      <c r="AB83" s="502"/>
      <c r="AC83" s="502"/>
      <c r="AD83" s="503"/>
      <c r="AF83" s="50"/>
    </row>
    <row r="84" spans="1:32" ht="30" customHeight="1">
      <c r="A84" s="471">
        <f>A83+1</f>
        <v>2</v>
      </c>
      <c r="B84" s="472"/>
      <c r="C84" s="327"/>
      <c r="D84" s="327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ref="A85:A89" si="19">A84+1</f>
        <v>3</v>
      </c>
      <c r="B85" s="472"/>
      <c r="C85" s="327"/>
      <c r="D85" s="327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9"/>
        <v>4</v>
      </c>
      <c r="B86" s="472"/>
      <c r="C86" s="327"/>
      <c r="D86" s="327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9"/>
        <v>5</v>
      </c>
      <c r="B87" s="472"/>
      <c r="C87" s="327"/>
      <c r="D87" s="327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9"/>
        <v>6</v>
      </c>
      <c r="B88" s="472"/>
      <c r="C88" s="327"/>
      <c r="D88" s="327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0" customHeight="1">
      <c r="A89" s="471">
        <f t="shared" si="19"/>
        <v>7</v>
      </c>
      <c r="B89" s="472"/>
      <c r="C89" s="327"/>
      <c r="D89" s="327"/>
      <c r="E89" s="32"/>
      <c r="F89" s="472"/>
      <c r="G89" s="472"/>
      <c r="H89" s="472"/>
      <c r="I89" s="472"/>
      <c r="J89" s="472"/>
      <c r="K89" s="487"/>
      <c r="L89" s="488"/>
      <c r="M89" s="488"/>
      <c r="N89" s="488"/>
      <c r="O89" s="488"/>
      <c r="P89" s="488"/>
      <c r="Q89" s="488"/>
      <c r="R89" s="488"/>
      <c r="S89" s="489"/>
      <c r="T89" s="490"/>
      <c r="U89" s="490"/>
      <c r="V89" s="490"/>
      <c r="W89" s="490"/>
      <c r="X89" s="491"/>
      <c r="Y89" s="491"/>
      <c r="Z89" s="491"/>
      <c r="AA89" s="491"/>
      <c r="AB89" s="491"/>
      <c r="AC89" s="491"/>
      <c r="AD89" s="492"/>
      <c r="AF89" s="50"/>
    </row>
    <row r="90" spans="1:32" ht="36" thickBot="1">
      <c r="A90" s="484" t="s">
        <v>459</v>
      </c>
      <c r="B90" s="484"/>
      <c r="C90" s="484"/>
      <c r="D90" s="484"/>
      <c r="E90" s="484"/>
      <c r="F90" s="37"/>
      <c r="G90" s="37"/>
      <c r="H90" s="38"/>
      <c r="I90" s="38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F90" s="50"/>
    </row>
    <row r="91" spans="1:32" ht="30.75" customHeight="1" thickBot="1">
      <c r="A91" s="485" t="s">
        <v>111</v>
      </c>
      <c r="B91" s="486"/>
      <c r="C91" s="476" t="s">
        <v>52</v>
      </c>
      <c r="D91" s="476"/>
      <c r="E91" s="476" t="s">
        <v>53</v>
      </c>
      <c r="F91" s="476"/>
      <c r="G91" s="476"/>
      <c r="H91" s="476"/>
      <c r="I91" s="476"/>
      <c r="J91" s="476"/>
      <c r="K91" s="476" t="s">
        <v>54</v>
      </c>
      <c r="L91" s="476"/>
      <c r="M91" s="476"/>
      <c r="N91" s="476"/>
      <c r="O91" s="476"/>
      <c r="P91" s="476"/>
      <c r="Q91" s="476"/>
      <c r="R91" s="476"/>
      <c r="S91" s="476"/>
      <c r="T91" s="476" t="s">
        <v>55</v>
      </c>
      <c r="U91" s="476"/>
      <c r="V91" s="476" t="s">
        <v>56</v>
      </c>
      <c r="W91" s="476"/>
      <c r="X91" s="476"/>
      <c r="Y91" s="476" t="s">
        <v>51</v>
      </c>
      <c r="Z91" s="476"/>
      <c r="AA91" s="476"/>
      <c r="AB91" s="476"/>
      <c r="AC91" s="476"/>
      <c r="AD91" s="477"/>
      <c r="AF91" s="50"/>
    </row>
    <row r="92" spans="1:32" ht="30.75" customHeight="1">
      <c r="A92" s="478">
        <v>1</v>
      </c>
      <c r="B92" s="479"/>
      <c r="C92" s="480">
        <v>9</v>
      </c>
      <c r="D92" s="480"/>
      <c r="E92" s="480" t="s">
        <v>125</v>
      </c>
      <c r="F92" s="480"/>
      <c r="G92" s="480"/>
      <c r="H92" s="480"/>
      <c r="I92" s="480"/>
      <c r="J92" s="480"/>
      <c r="K92" s="480" t="s">
        <v>132</v>
      </c>
      <c r="L92" s="480"/>
      <c r="M92" s="480"/>
      <c r="N92" s="480"/>
      <c r="O92" s="480"/>
      <c r="P92" s="480"/>
      <c r="Q92" s="480"/>
      <c r="R92" s="480"/>
      <c r="S92" s="480"/>
      <c r="T92" s="480" t="s">
        <v>126</v>
      </c>
      <c r="U92" s="480"/>
      <c r="V92" s="481">
        <v>1900000</v>
      </c>
      <c r="W92" s="481"/>
      <c r="X92" s="481"/>
      <c r="Y92" s="482"/>
      <c r="Z92" s="482"/>
      <c r="AA92" s="482"/>
      <c r="AB92" s="482"/>
      <c r="AC92" s="482"/>
      <c r="AD92" s="483"/>
      <c r="AF92" s="50"/>
    </row>
    <row r="93" spans="1:32" ht="30.75" customHeight="1">
      <c r="A93" s="471">
        <v>2</v>
      </c>
      <c r="B93" s="472"/>
      <c r="C93" s="473"/>
      <c r="D93" s="473"/>
      <c r="E93" s="473"/>
      <c r="F93" s="473"/>
      <c r="G93" s="473"/>
      <c r="H93" s="473"/>
      <c r="I93" s="473"/>
      <c r="J93" s="473"/>
      <c r="K93" s="473"/>
      <c r="L93" s="473"/>
      <c r="M93" s="473"/>
      <c r="N93" s="473"/>
      <c r="O93" s="473"/>
      <c r="P93" s="473"/>
      <c r="Q93" s="473"/>
      <c r="R93" s="473"/>
      <c r="S93" s="473"/>
      <c r="T93" s="474"/>
      <c r="U93" s="474"/>
      <c r="V93" s="475"/>
      <c r="W93" s="475"/>
      <c r="X93" s="475"/>
      <c r="Y93" s="463"/>
      <c r="Z93" s="463"/>
      <c r="AA93" s="463"/>
      <c r="AB93" s="463"/>
      <c r="AC93" s="463"/>
      <c r="AD93" s="464"/>
      <c r="AF93" s="50"/>
    </row>
    <row r="94" spans="1:32" ht="30.75" customHeight="1" thickBot="1">
      <c r="A94" s="465">
        <v>3</v>
      </c>
      <c r="B94" s="466"/>
      <c r="C94" s="467"/>
      <c r="D94" s="467"/>
      <c r="E94" s="467"/>
      <c r="F94" s="467"/>
      <c r="G94" s="467"/>
      <c r="H94" s="467"/>
      <c r="I94" s="467"/>
      <c r="J94" s="467"/>
      <c r="K94" s="467"/>
      <c r="L94" s="467"/>
      <c r="M94" s="467"/>
      <c r="N94" s="467"/>
      <c r="O94" s="467"/>
      <c r="P94" s="467"/>
      <c r="Q94" s="467"/>
      <c r="R94" s="467"/>
      <c r="S94" s="467"/>
      <c r="T94" s="467"/>
      <c r="U94" s="467"/>
      <c r="V94" s="468"/>
      <c r="W94" s="468"/>
      <c r="X94" s="468"/>
      <c r="Y94" s="469"/>
      <c r="Z94" s="469"/>
      <c r="AA94" s="469"/>
      <c r="AB94" s="469"/>
      <c r="AC94" s="469"/>
      <c r="AD94" s="470"/>
      <c r="AF94" s="50"/>
    </row>
  </sheetData>
  <mergeCells count="232">
    <mergeCell ref="Y93:AD93"/>
    <mergeCell ref="A94:B94"/>
    <mergeCell ref="C94:D94"/>
    <mergeCell ref="E94:J94"/>
    <mergeCell ref="K94:S94"/>
    <mergeCell ref="T94:U94"/>
    <mergeCell ref="V94:X94"/>
    <mergeCell ref="Y94:AD94"/>
    <mergeCell ref="A93:B93"/>
    <mergeCell ref="C93:D93"/>
    <mergeCell ref="E93:J93"/>
    <mergeCell ref="K93:S93"/>
    <mergeCell ref="T93:U93"/>
    <mergeCell ref="V93:X93"/>
    <mergeCell ref="V91:X91"/>
    <mergeCell ref="Y91:AD91"/>
    <mergeCell ref="A92:B92"/>
    <mergeCell ref="C92:D92"/>
    <mergeCell ref="E92:J92"/>
    <mergeCell ref="K92:S92"/>
    <mergeCell ref="T92:U92"/>
    <mergeCell ref="V92:X92"/>
    <mergeCell ref="Y92:AD92"/>
    <mergeCell ref="A90:E90"/>
    <mergeCell ref="A91:B91"/>
    <mergeCell ref="C91:D91"/>
    <mergeCell ref="E91:J91"/>
    <mergeCell ref="K91:S91"/>
    <mergeCell ref="T91:U91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B80:AD80"/>
    <mergeCell ref="A81:E81"/>
    <mergeCell ref="A82:B82"/>
    <mergeCell ref="F82:J82"/>
    <mergeCell ref="K82:S82"/>
    <mergeCell ref="T82:U82"/>
    <mergeCell ref="V82:W82"/>
    <mergeCell ref="X82:AD82"/>
    <mergeCell ref="A80:B80"/>
    <mergeCell ref="F80:J80"/>
    <mergeCell ref="K80:L80"/>
    <mergeCell ref="N80:O80"/>
    <mergeCell ref="P80:Q80"/>
    <mergeCell ref="R80:AA80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2:AD72"/>
    <mergeCell ref="A73:B73"/>
    <mergeCell ref="F73:J73"/>
    <mergeCell ref="K73:L73"/>
    <mergeCell ref="N73:O73"/>
    <mergeCell ref="P73:Q73"/>
    <mergeCell ref="R73:AA73"/>
    <mergeCell ref="AB73:AD73"/>
    <mergeCell ref="A72:B72"/>
    <mergeCell ref="F72:J72"/>
    <mergeCell ref="K72:L72"/>
    <mergeCell ref="N72:O72"/>
    <mergeCell ref="P72:Q72"/>
    <mergeCell ref="R72:AA72"/>
    <mergeCell ref="R70:AA70"/>
    <mergeCell ref="AB70:AD70"/>
    <mergeCell ref="A71:B71"/>
    <mergeCell ref="F71:J71"/>
    <mergeCell ref="K71:L71"/>
    <mergeCell ref="N71:O71"/>
    <mergeCell ref="P71:Q71"/>
    <mergeCell ref="R71:AA71"/>
    <mergeCell ref="AB71:AD71"/>
    <mergeCell ref="A69:E69"/>
    <mergeCell ref="A70:B70"/>
    <mergeCell ref="F70:J70"/>
    <mergeCell ref="K70:L70"/>
    <mergeCell ref="N70:O70"/>
    <mergeCell ref="P70:Q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D4:AD5"/>
    <mergeCell ref="A29:H29"/>
    <mergeCell ref="A56:E56"/>
    <mergeCell ref="A57:M57"/>
    <mergeCell ref="N57:AD57"/>
    <mergeCell ref="A58:B58"/>
    <mergeCell ref="F58:M58"/>
    <mergeCell ref="P58:Q58"/>
    <mergeCell ref="R58:U58"/>
    <mergeCell ref="V58:AD58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4" max="29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7A25-41D6-42AB-AE0B-7AAF76B82955}">
  <sheetPr>
    <pageSetUpPr fitToPage="1"/>
  </sheetPr>
  <dimension ref="A1:AF95"/>
  <sheetViews>
    <sheetView view="pageBreakPreview" zoomScale="70" zoomScaleNormal="72" zoomScaleSheetLayoutView="70" workbookViewId="0">
      <selection activeCell="A92" sqref="A92:B92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460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341" t="s">
        <v>17</v>
      </c>
      <c r="L5" s="341" t="s">
        <v>18</v>
      </c>
      <c r="M5" s="341" t="s">
        <v>19</v>
      </c>
      <c r="N5" s="34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163</v>
      </c>
      <c r="D6" s="52"/>
      <c r="E6" s="53" t="s">
        <v>394</v>
      </c>
      <c r="F6" s="30" t="s">
        <v>141</v>
      </c>
      <c r="G6" s="12">
        <v>1</v>
      </c>
      <c r="H6" s="13">
        <v>24</v>
      </c>
      <c r="I6" s="31">
        <v>600</v>
      </c>
      <c r="J6" s="14">
        <v>600</v>
      </c>
      <c r="K6" s="15">
        <f>L6+600</f>
        <v>600</v>
      </c>
      <c r="L6" s="15"/>
      <c r="M6" s="15">
        <f t="shared" ref="M6:M29" si="0">L6-N6</f>
        <v>0</v>
      </c>
      <c r="N6" s="15">
        <v>0</v>
      </c>
      <c r="O6" s="58" t="str">
        <f t="shared" ref="O6:O30" si="1">IF(L6=0,"0",N6/L6)</f>
        <v>0</v>
      </c>
      <c r="P6" s="39" t="str">
        <f t="shared" ref="P6:P29" si="2">IF(L6=0,"0",(24-Q6))</f>
        <v>0</v>
      </c>
      <c r="Q6" s="40">
        <f t="shared" ref="Q6:Q29" si="3">SUM(R6:AA6)</f>
        <v>24</v>
      </c>
      <c r="R6" s="7"/>
      <c r="S6" s="6"/>
      <c r="T6" s="16"/>
      <c r="U6" s="16"/>
      <c r="V6" s="17"/>
      <c r="W6" s="5"/>
      <c r="X6" s="16"/>
      <c r="Y6" s="16"/>
      <c r="Z6" s="16"/>
      <c r="AA6" s="18">
        <v>24</v>
      </c>
      <c r="AB6" s="8">
        <f t="shared" ref="AB6:AB29" si="4">IF(J6=0,"0",(L6/J6))</f>
        <v>0</v>
      </c>
      <c r="AC6" s="9">
        <f t="shared" ref="AC6:AC29" si="5">IF(P6=0,"0",(P6/24))</f>
        <v>0</v>
      </c>
      <c r="AD6" s="10">
        <f t="shared" ref="AD6:AD29" si="6">AC6*AB6*(1-O6)</f>
        <v>0</v>
      </c>
      <c r="AE6" s="36">
        <f t="shared" ref="AE6:AE29" si="7">$AD$30</f>
        <v>0.44444444444444442</v>
      </c>
      <c r="AF6" s="84">
        <f t="shared" ref="AF6:AF29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180000</v>
      </c>
      <c r="J7" s="14">
        <v>4776</v>
      </c>
      <c r="K7" s="15">
        <f>L7+4540+5413</f>
        <v>14729</v>
      </c>
      <c r="L7" s="15">
        <f>2464+2312</f>
        <v>4776</v>
      </c>
      <c r="M7" s="15">
        <f t="shared" si="0"/>
        <v>4776</v>
      </c>
      <c r="N7" s="15">
        <v>0</v>
      </c>
      <c r="O7" s="58">
        <f t="shared" si="1"/>
        <v>0</v>
      </c>
      <c r="P7" s="39">
        <f t="shared" si="2"/>
        <v>21</v>
      </c>
      <c r="Q7" s="40">
        <f t="shared" si="3"/>
        <v>3</v>
      </c>
      <c r="R7" s="7"/>
      <c r="S7" s="6">
        <v>3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0.875</v>
      </c>
      <c r="AD7" s="10">
        <f t="shared" si="6"/>
        <v>0.875</v>
      </c>
      <c r="AE7" s="36">
        <f t="shared" si="7"/>
        <v>0.44444444444444442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180000</v>
      </c>
      <c r="J8" s="14">
        <v>11712</v>
      </c>
      <c r="K8" s="15">
        <f>L8+8132+2262+5886+10522+11854+11762+11766+11818+11592+5898+11758+11820</f>
        <v>126782</v>
      </c>
      <c r="L8" s="15">
        <f>2934*2+2922*2</f>
        <v>11712</v>
      </c>
      <c r="M8" s="15">
        <f t="shared" si="0"/>
        <v>11712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0.44444444444444442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180000</v>
      </c>
      <c r="J9" s="14">
        <v>11638</v>
      </c>
      <c r="K9" s="15">
        <f>L9+10280+10788+10818+10814+11584+6366+11696+11770</f>
        <v>95754</v>
      </c>
      <c r="L9" s="15">
        <f>2920*2+2899*2</f>
        <v>11638</v>
      </c>
      <c r="M9" s="15">
        <f t="shared" si="0"/>
        <v>11638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0.44444444444444442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163</v>
      </c>
      <c r="D10" s="52"/>
      <c r="E10" s="53" t="s">
        <v>204</v>
      </c>
      <c r="F10" s="30" t="s">
        <v>205</v>
      </c>
      <c r="G10" s="33">
        <v>2</v>
      </c>
      <c r="H10" s="35">
        <v>24</v>
      </c>
      <c r="I10" s="7">
        <v>100000</v>
      </c>
      <c r="J10" s="14">
        <v>10206</v>
      </c>
      <c r="K10" s="15">
        <f>L10</f>
        <v>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/>
      <c r="W10" s="5"/>
      <c r="X10" s="16"/>
      <c r="Y10" s="16"/>
      <c r="Z10" s="16"/>
      <c r="AA10" s="18">
        <v>24</v>
      </c>
      <c r="AB10" s="8">
        <f t="shared" si="4"/>
        <v>0</v>
      </c>
      <c r="AC10" s="9">
        <f t="shared" si="5"/>
        <v>0</v>
      </c>
      <c r="AD10" s="10">
        <f t="shared" si="6"/>
        <v>0</v>
      </c>
      <c r="AE10" s="36">
        <f t="shared" si="7"/>
        <v>0.44444444444444442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123</v>
      </c>
      <c r="E11" s="53" t="s">
        <v>430</v>
      </c>
      <c r="F11" s="30" t="s">
        <v>128</v>
      </c>
      <c r="G11" s="33">
        <v>2</v>
      </c>
      <c r="H11" s="35">
        <v>24</v>
      </c>
      <c r="I11" s="7">
        <v>5600</v>
      </c>
      <c r="J11" s="14">
        <v>6046</v>
      </c>
      <c r="K11" s="15">
        <f>L11</f>
        <v>6046</v>
      </c>
      <c r="L11" s="15">
        <f>2483*2+540*2</f>
        <v>6046</v>
      </c>
      <c r="M11" s="15">
        <f t="shared" si="0"/>
        <v>6046</v>
      </c>
      <c r="N11" s="15">
        <v>0</v>
      </c>
      <c r="O11" s="58">
        <f t="shared" si="1"/>
        <v>0</v>
      </c>
      <c r="P11" s="39">
        <f t="shared" si="2"/>
        <v>16</v>
      </c>
      <c r="Q11" s="40">
        <f t="shared" si="3"/>
        <v>8</v>
      </c>
      <c r="R11" s="7"/>
      <c r="S11" s="6">
        <v>8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0.66666666666666663</v>
      </c>
      <c r="AD11" s="10">
        <f t="shared" si="6"/>
        <v>0.66666666666666663</v>
      </c>
      <c r="AE11" s="36">
        <f t="shared" si="7"/>
        <v>0.44444444444444442</v>
      </c>
      <c r="AF11" s="84">
        <f t="shared" si="8"/>
        <v>6</v>
      </c>
    </row>
    <row r="12" spans="1:32" ht="27" customHeight="1">
      <c r="A12" s="96">
        <v>6</v>
      </c>
      <c r="B12" s="11" t="s">
        <v>57</v>
      </c>
      <c r="C12" s="11" t="s">
        <v>138</v>
      </c>
      <c r="D12" s="52" t="s">
        <v>115</v>
      </c>
      <c r="E12" s="53" t="s">
        <v>445</v>
      </c>
      <c r="F12" s="30" t="s">
        <v>206</v>
      </c>
      <c r="G12" s="33">
        <v>1</v>
      </c>
      <c r="H12" s="35">
        <v>24</v>
      </c>
      <c r="I12" s="7">
        <v>2000</v>
      </c>
      <c r="J12" s="14">
        <v>1201</v>
      </c>
      <c r="K12" s="15">
        <f>L12+4093</f>
        <v>5294</v>
      </c>
      <c r="L12" s="15">
        <v>1201</v>
      </c>
      <c r="M12" s="15">
        <f t="shared" si="0"/>
        <v>1201</v>
      </c>
      <c r="N12" s="15">
        <v>0</v>
      </c>
      <c r="O12" s="58">
        <f t="shared" si="1"/>
        <v>0</v>
      </c>
      <c r="P12" s="39">
        <f t="shared" si="2"/>
        <v>6</v>
      </c>
      <c r="Q12" s="40">
        <f t="shared" si="3"/>
        <v>18</v>
      </c>
      <c r="R12" s="7"/>
      <c r="S12" s="6"/>
      <c r="T12" s="16"/>
      <c r="U12" s="16"/>
      <c r="V12" s="17"/>
      <c r="W12" s="5">
        <v>18</v>
      </c>
      <c r="X12" s="16"/>
      <c r="Y12" s="16"/>
      <c r="Z12" s="16"/>
      <c r="AA12" s="18"/>
      <c r="AB12" s="8">
        <f t="shared" si="4"/>
        <v>1</v>
      </c>
      <c r="AC12" s="9">
        <f t="shared" si="5"/>
        <v>0.25</v>
      </c>
      <c r="AD12" s="10">
        <f t="shared" si="6"/>
        <v>0.25</v>
      </c>
      <c r="AE12" s="36">
        <f t="shared" si="7"/>
        <v>0.44444444444444442</v>
      </c>
      <c r="AF12" s="84">
        <f t="shared" si="8"/>
        <v>6</v>
      </c>
    </row>
    <row r="13" spans="1:32" ht="27" customHeight="1">
      <c r="A13" s="96">
        <v>7</v>
      </c>
      <c r="B13" s="11" t="s">
        <v>57</v>
      </c>
      <c r="C13" s="34" t="s">
        <v>138</v>
      </c>
      <c r="D13" s="52" t="s">
        <v>115</v>
      </c>
      <c r="E13" s="53" t="s">
        <v>381</v>
      </c>
      <c r="F13" s="30" t="s">
        <v>139</v>
      </c>
      <c r="G13" s="12">
        <v>2</v>
      </c>
      <c r="H13" s="13">
        <v>22</v>
      </c>
      <c r="I13" s="31">
        <v>20000</v>
      </c>
      <c r="J13" s="5">
        <v>1736</v>
      </c>
      <c r="K13" s="15">
        <f>L13+8174+10376</f>
        <v>20286</v>
      </c>
      <c r="L13" s="15">
        <f>868*2</f>
        <v>1736</v>
      </c>
      <c r="M13" s="15">
        <f t="shared" si="0"/>
        <v>1736</v>
      </c>
      <c r="N13" s="15">
        <v>0</v>
      </c>
      <c r="O13" s="58">
        <f t="shared" si="1"/>
        <v>0</v>
      </c>
      <c r="P13" s="39">
        <f t="shared" si="2"/>
        <v>5</v>
      </c>
      <c r="Q13" s="40">
        <f t="shared" si="3"/>
        <v>19</v>
      </c>
      <c r="R13" s="7"/>
      <c r="S13" s="6"/>
      <c r="T13" s="16"/>
      <c r="U13" s="16"/>
      <c r="V13" s="17"/>
      <c r="W13" s="5">
        <v>19</v>
      </c>
      <c r="X13" s="16"/>
      <c r="Y13" s="16"/>
      <c r="Z13" s="16"/>
      <c r="AA13" s="18"/>
      <c r="AB13" s="8">
        <f t="shared" si="4"/>
        <v>1</v>
      </c>
      <c r="AC13" s="9">
        <f t="shared" si="5"/>
        <v>0.20833333333333334</v>
      </c>
      <c r="AD13" s="10">
        <f t="shared" si="6"/>
        <v>0.20833333333333334</v>
      </c>
      <c r="AE13" s="36">
        <f t="shared" si="7"/>
        <v>0.44444444444444442</v>
      </c>
      <c r="AF13" s="84">
        <f t="shared" si="8"/>
        <v>7</v>
      </c>
    </row>
    <row r="14" spans="1:32" ht="27" customHeight="1">
      <c r="A14" s="96">
        <v>8</v>
      </c>
      <c r="B14" s="11" t="s">
        <v>57</v>
      </c>
      <c r="C14" s="11" t="s">
        <v>112</v>
      </c>
      <c r="D14" s="52" t="s">
        <v>123</v>
      </c>
      <c r="E14" s="53" t="s">
        <v>179</v>
      </c>
      <c r="F14" s="30" t="s">
        <v>128</v>
      </c>
      <c r="G14" s="33">
        <v>2</v>
      </c>
      <c r="H14" s="35">
        <v>35</v>
      </c>
      <c r="I14" s="7">
        <v>190000</v>
      </c>
      <c r="J14" s="14">
        <v>9086</v>
      </c>
      <c r="K14" s="15">
        <f>L14+6644+12322+12086+12660+12576+12284+12314+12182+11830+12272+12308</f>
        <v>138564</v>
      </c>
      <c r="L14" s="15">
        <f>1501*2+3042*2</f>
        <v>9086</v>
      </c>
      <c r="M14" s="15">
        <f t="shared" si="0"/>
        <v>9086</v>
      </c>
      <c r="N14" s="15">
        <v>0</v>
      </c>
      <c r="O14" s="58">
        <f t="shared" si="1"/>
        <v>0</v>
      </c>
      <c r="P14" s="39">
        <f t="shared" si="2"/>
        <v>21</v>
      </c>
      <c r="Q14" s="40">
        <f t="shared" si="3"/>
        <v>3</v>
      </c>
      <c r="R14" s="7">
        <v>3</v>
      </c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0.875</v>
      </c>
      <c r="AD14" s="10">
        <f t="shared" si="6"/>
        <v>0.875</v>
      </c>
      <c r="AE14" s="36">
        <f t="shared" si="7"/>
        <v>0.44444444444444442</v>
      </c>
      <c r="AF14" s="84">
        <f t="shared" si="8"/>
        <v>8</v>
      </c>
    </row>
    <row r="15" spans="1:32" ht="27" customHeight="1">
      <c r="A15" s="105">
        <v>9</v>
      </c>
      <c r="B15" s="11" t="s">
        <v>57</v>
      </c>
      <c r="C15" s="34" t="s">
        <v>112</v>
      </c>
      <c r="D15" s="52" t="s">
        <v>115</v>
      </c>
      <c r="E15" s="53" t="s">
        <v>181</v>
      </c>
      <c r="F15" s="30" t="s">
        <v>171</v>
      </c>
      <c r="G15" s="33">
        <v>1</v>
      </c>
      <c r="H15" s="35">
        <v>50</v>
      </c>
      <c r="I15" s="7">
        <v>500</v>
      </c>
      <c r="J15" s="5">
        <v>608</v>
      </c>
      <c r="K15" s="15">
        <f>L15+290+608</f>
        <v>898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0.44444444444444442</v>
      </c>
      <c r="AF15" s="84">
        <f t="shared" si="8"/>
        <v>9</v>
      </c>
    </row>
    <row r="16" spans="1:32" ht="27" customHeight="1">
      <c r="A16" s="95">
        <v>10</v>
      </c>
      <c r="B16" s="11" t="s">
        <v>57</v>
      </c>
      <c r="C16" s="34" t="s">
        <v>116</v>
      </c>
      <c r="D16" s="52" t="s">
        <v>122</v>
      </c>
      <c r="E16" s="53" t="s">
        <v>136</v>
      </c>
      <c r="F16" s="30" t="s">
        <v>131</v>
      </c>
      <c r="G16" s="12">
        <v>4</v>
      </c>
      <c r="H16" s="13">
        <v>24</v>
      </c>
      <c r="I16" s="31">
        <v>12000</v>
      </c>
      <c r="J16" s="14">
        <v>12356</v>
      </c>
      <c r="K16" s="15">
        <f>L16+12356</f>
        <v>12356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0.44444444444444442</v>
      </c>
      <c r="AF16" s="84">
        <f t="shared" si="8"/>
        <v>10</v>
      </c>
    </row>
    <row r="17" spans="1:32" ht="27" customHeight="1">
      <c r="A17" s="112">
        <v>11</v>
      </c>
      <c r="B17" s="11" t="s">
        <v>57</v>
      </c>
      <c r="C17" s="34" t="s">
        <v>112</v>
      </c>
      <c r="D17" s="52" t="s">
        <v>137</v>
      </c>
      <c r="E17" s="53" t="s">
        <v>433</v>
      </c>
      <c r="F17" s="30" t="s">
        <v>140</v>
      </c>
      <c r="G17" s="12">
        <v>1</v>
      </c>
      <c r="H17" s="13">
        <v>24</v>
      </c>
      <c r="I17" s="7">
        <v>22000</v>
      </c>
      <c r="J17" s="14">
        <v>4843</v>
      </c>
      <c r="K17" s="15">
        <f>L17</f>
        <v>4843</v>
      </c>
      <c r="L17" s="15">
        <f>2715+2128</f>
        <v>4843</v>
      </c>
      <c r="M17" s="15">
        <f t="shared" si="0"/>
        <v>4843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6"/>
        <v>1</v>
      </c>
      <c r="AE17" s="36">
        <f t="shared" si="7"/>
        <v>0.44444444444444442</v>
      </c>
      <c r="AF17" s="84">
        <f t="shared" si="8"/>
        <v>11</v>
      </c>
    </row>
    <row r="18" spans="1:32" ht="27" customHeight="1">
      <c r="A18" s="95">
        <v>12</v>
      </c>
      <c r="B18" s="11" t="s">
        <v>57</v>
      </c>
      <c r="C18" s="34" t="s">
        <v>138</v>
      </c>
      <c r="D18" s="52" t="s">
        <v>244</v>
      </c>
      <c r="E18" s="53" t="s">
        <v>452</v>
      </c>
      <c r="F18" s="30" t="s">
        <v>461</v>
      </c>
      <c r="G18" s="12">
        <v>1</v>
      </c>
      <c r="H18" s="13">
        <v>24</v>
      </c>
      <c r="I18" s="7">
        <v>500</v>
      </c>
      <c r="J18" s="14">
        <v>1600</v>
      </c>
      <c r="K18" s="15">
        <f>L18</f>
        <v>1600</v>
      </c>
      <c r="L18" s="15">
        <f>1600</f>
        <v>1600</v>
      </c>
      <c r="M18" s="15">
        <f t="shared" si="0"/>
        <v>1600</v>
      </c>
      <c r="N18" s="15">
        <v>0</v>
      </c>
      <c r="O18" s="58">
        <f t="shared" si="1"/>
        <v>0</v>
      </c>
      <c r="P18" s="39">
        <f t="shared" si="2"/>
        <v>8</v>
      </c>
      <c r="Q18" s="40">
        <f t="shared" si="3"/>
        <v>16</v>
      </c>
      <c r="R18" s="7"/>
      <c r="S18" s="6"/>
      <c r="T18" s="16"/>
      <c r="U18" s="16"/>
      <c r="V18" s="17"/>
      <c r="W18" s="5">
        <v>16</v>
      </c>
      <c r="X18" s="16"/>
      <c r="Y18" s="16"/>
      <c r="Z18" s="16"/>
      <c r="AA18" s="18"/>
      <c r="AB18" s="8">
        <f t="shared" si="4"/>
        <v>1</v>
      </c>
      <c r="AC18" s="9">
        <f t="shared" si="5"/>
        <v>0.33333333333333331</v>
      </c>
      <c r="AD18" s="10">
        <f t="shared" si="6"/>
        <v>0.33333333333333331</v>
      </c>
      <c r="AE18" s="36">
        <f t="shared" si="7"/>
        <v>0.44444444444444442</v>
      </c>
      <c r="AF18" s="84">
        <f t="shared" si="8"/>
        <v>12</v>
      </c>
    </row>
    <row r="19" spans="1:32" ht="27" customHeight="1">
      <c r="A19" s="95">
        <v>12</v>
      </c>
      <c r="B19" s="11" t="s">
        <v>57</v>
      </c>
      <c r="C19" s="34" t="s">
        <v>138</v>
      </c>
      <c r="D19" s="52" t="s">
        <v>462</v>
      </c>
      <c r="E19" s="53" t="s">
        <v>463</v>
      </c>
      <c r="F19" s="30" t="s">
        <v>461</v>
      </c>
      <c r="G19" s="12">
        <v>1</v>
      </c>
      <c r="H19" s="13">
        <v>24</v>
      </c>
      <c r="I19" s="7">
        <v>8000</v>
      </c>
      <c r="J19" s="14">
        <v>3204</v>
      </c>
      <c r="K19" s="15">
        <f>L19</f>
        <v>3204</v>
      </c>
      <c r="L19" s="15">
        <f>3204</f>
        <v>3204</v>
      </c>
      <c r="M19" s="15">
        <f t="shared" ref="M19" si="9">L19-N19</f>
        <v>3204</v>
      </c>
      <c r="N19" s="15">
        <v>0</v>
      </c>
      <c r="O19" s="58">
        <f t="shared" ref="O19" si="10">IF(L19=0,"0",N19/L19)</f>
        <v>0</v>
      </c>
      <c r="P19" s="39">
        <f t="shared" ref="P19" si="11">IF(L19=0,"0",(24-Q19))</f>
        <v>14</v>
      </c>
      <c r="Q19" s="40">
        <f t="shared" ref="Q19" si="12">SUM(R19:AA19)</f>
        <v>10</v>
      </c>
      <c r="R19" s="7"/>
      <c r="S19" s="6"/>
      <c r="T19" s="16">
        <v>10</v>
      </c>
      <c r="U19" s="16"/>
      <c r="V19" s="17"/>
      <c r="W19" s="5"/>
      <c r="X19" s="16"/>
      <c r="Y19" s="16"/>
      <c r="Z19" s="16"/>
      <c r="AA19" s="18"/>
      <c r="AB19" s="8">
        <f t="shared" ref="AB19" si="13">IF(J19=0,"0",(L19/J19))</f>
        <v>1</v>
      </c>
      <c r="AC19" s="9">
        <f t="shared" ref="AC19" si="14">IF(P19=0,"0",(P19/24))</f>
        <v>0.58333333333333337</v>
      </c>
      <c r="AD19" s="10">
        <f t="shared" ref="AD19" si="15">AC19*AB19*(1-O19)</f>
        <v>0.58333333333333337</v>
      </c>
      <c r="AE19" s="36">
        <f t="shared" si="7"/>
        <v>0.44444444444444442</v>
      </c>
      <c r="AF19" s="84">
        <f t="shared" ref="AF19" si="16">A19</f>
        <v>12</v>
      </c>
    </row>
    <row r="20" spans="1:32" ht="27" customHeight="1">
      <c r="A20" s="96">
        <v>13</v>
      </c>
      <c r="B20" s="11" t="s">
        <v>57</v>
      </c>
      <c r="C20" s="11" t="s">
        <v>112</v>
      </c>
      <c r="D20" s="52" t="s">
        <v>137</v>
      </c>
      <c r="E20" s="53" t="s">
        <v>191</v>
      </c>
      <c r="F20" s="30" t="s">
        <v>130</v>
      </c>
      <c r="G20" s="33">
        <v>1</v>
      </c>
      <c r="H20" s="35">
        <v>24</v>
      </c>
      <c r="I20" s="7">
        <v>180000</v>
      </c>
      <c r="J20" s="14">
        <v>11404</v>
      </c>
      <c r="K20" s="15">
        <f>L20+9952+11100+11616+11336+11468+11654+10384+11002+11590+11484+11300+9654+6186+11446+8364</f>
        <v>169940</v>
      </c>
      <c r="L20" s="15">
        <f>2854*2+2848*2</f>
        <v>11404</v>
      </c>
      <c r="M20" s="15">
        <f t="shared" si="0"/>
        <v>11404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0.44444444444444442</v>
      </c>
      <c r="AF20" s="84">
        <f t="shared" si="8"/>
        <v>13</v>
      </c>
    </row>
    <row r="21" spans="1:32" ht="27" customHeight="1">
      <c r="A21" s="96">
        <v>14</v>
      </c>
      <c r="B21" s="11" t="s">
        <v>57</v>
      </c>
      <c r="C21" s="11" t="s">
        <v>112</v>
      </c>
      <c r="D21" s="52" t="s">
        <v>115</v>
      </c>
      <c r="E21" s="53" t="s">
        <v>446</v>
      </c>
      <c r="F21" s="30" t="s">
        <v>128</v>
      </c>
      <c r="G21" s="33">
        <v>1</v>
      </c>
      <c r="H21" s="35">
        <v>24</v>
      </c>
      <c r="I21" s="7">
        <v>500</v>
      </c>
      <c r="J21" s="14">
        <v>611</v>
      </c>
      <c r="K21" s="15">
        <f>L21+9274+6870+6196+611</f>
        <v>22951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/>
      <c r="W21" s="5">
        <v>24</v>
      </c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0.44444444444444442</v>
      </c>
      <c r="AF21" s="84">
        <f t="shared" si="8"/>
        <v>14</v>
      </c>
    </row>
    <row r="22" spans="1:32" ht="27" customHeight="1">
      <c r="A22" s="112">
        <v>15</v>
      </c>
      <c r="B22" s="11" t="s">
        <v>57</v>
      </c>
      <c r="C22" s="34" t="s">
        <v>112</v>
      </c>
      <c r="D22" s="52" t="s">
        <v>115</v>
      </c>
      <c r="E22" s="53" t="s">
        <v>178</v>
      </c>
      <c r="F22" s="30" t="s">
        <v>206</v>
      </c>
      <c r="G22" s="12">
        <v>2</v>
      </c>
      <c r="H22" s="13">
        <v>24</v>
      </c>
      <c r="I22" s="7">
        <v>230000</v>
      </c>
      <c r="J22" s="14">
        <v>6981</v>
      </c>
      <c r="K22" s="15">
        <f>L22+7008+11154+9077+8768+10676+10588+2521+7242+10236+10216+10614+10620+10632+10760+10206+10892+10136+10692+10896+9992+10630+10894+7459</f>
        <v>228890</v>
      </c>
      <c r="L22" s="15">
        <f>570*2+1776*2+2289</f>
        <v>6981</v>
      </c>
      <c r="M22" s="15">
        <f t="shared" si="0"/>
        <v>6981</v>
      </c>
      <c r="N22" s="15">
        <v>0</v>
      </c>
      <c r="O22" s="58">
        <f t="shared" si="1"/>
        <v>0</v>
      </c>
      <c r="P22" s="39">
        <f t="shared" si="2"/>
        <v>21</v>
      </c>
      <c r="Q22" s="40">
        <f t="shared" si="3"/>
        <v>3</v>
      </c>
      <c r="R22" s="7"/>
      <c r="S22" s="6">
        <v>3</v>
      </c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0.875</v>
      </c>
      <c r="AD22" s="10">
        <f t="shared" si="6"/>
        <v>0.875</v>
      </c>
      <c r="AE22" s="36">
        <f t="shared" si="7"/>
        <v>0.44444444444444442</v>
      </c>
      <c r="AF22" s="84">
        <f t="shared" si="8"/>
        <v>15</v>
      </c>
    </row>
    <row r="23" spans="1:32" ht="26.25" customHeight="1">
      <c r="A23" s="96">
        <v>16</v>
      </c>
      <c r="B23" s="11" t="s">
        <v>57</v>
      </c>
      <c r="C23" s="11" t="s">
        <v>113</v>
      </c>
      <c r="D23" s="52"/>
      <c r="E23" s="53" t="s">
        <v>299</v>
      </c>
      <c r="F23" s="12" t="s">
        <v>114</v>
      </c>
      <c r="G23" s="12">
        <v>3</v>
      </c>
      <c r="H23" s="35">
        <v>20</v>
      </c>
      <c r="I23" s="7">
        <v>1000000</v>
      </c>
      <c r="J23" s="14">
        <v>61132</v>
      </c>
      <c r="K23" s="15">
        <f>L23+56500+55900+61924+62232</f>
        <v>297688</v>
      </c>
      <c r="L23" s="15">
        <f>7604*4+7679*4</f>
        <v>61132</v>
      </c>
      <c r="M23" s="15">
        <f t="shared" si="0"/>
        <v>61132</v>
      </c>
      <c r="N23" s="15">
        <v>0</v>
      </c>
      <c r="O23" s="58">
        <f t="shared" si="1"/>
        <v>0</v>
      </c>
      <c r="P23" s="39">
        <f t="shared" si="2"/>
        <v>24</v>
      </c>
      <c r="Q23" s="40">
        <f t="shared" si="3"/>
        <v>0</v>
      </c>
      <c r="R23" s="7"/>
      <c r="S23" s="6"/>
      <c r="T23" s="16"/>
      <c r="U23" s="16"/>
      <c r="V23" s="17"/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1</v>
      </c>
      <c r="AD23" s="10">
        <f t="shared" si="6"/>
        <v>1</v>
      </c>
      <c r="AE23" s="36">
        <f t="shared" si="7"/>
        <v>0.44444444444444442</v>
      </c>
      <c r="AF23" s="84">
        <f t="shared" si="8"/>
        <v>16</v>
      </c>
    </row>
    <row r="24" spans="1:32" ht="18.75">
      <c r="A24" s="96">
        <v>31</v>
      </c>
      <c r="B24" s="11" t="s">
        <v>57</v>
      </c>
      <c r="C24" s="11"/>
      <c r="D24" s="52"/>
      <c r="E24" s="53"/>
      <c r="F24" s="12"/>
      <c r="G24" s="12"/>
      <c r="H24" s="35">
        <v>20</v>
      </c>
      <c r="I24" s="7"/>
      <c r="J24" s="14">
        <v>0</v>
      </c>
      <c r="K24" s="15">
        <f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>
        <v>24</v>
      </c>
      <c r="W24" s="5"/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0.44444444444444442</v>
      </c>
      <c r="AF24" s="84">
        <f t="shared" si="8"/>
        <v>31</v>
      </c>
    </row>
    <row r="25" spans="1:32" ht="18.75">
      <c r="A25" s="96">
        <v>32</v>
      </c>
      <c r="B25" s="11" t="s">
        <v>57</v>
      </c>
      <c r="C25" s="11"/>
      <c r="D25" s="52"/>
      <c r="E25" s="53"/>
      <c r="F25" s="12"/>
      <c r="G25" s="12"/>
      <c r="H25" s="35">
        <v>20</v>
      </c>
      <c r="I25" s="7"/>
      <c r="J25" s="14">
        <v>0</v>
      </c>
      <c r="K25" s="15">
        <f>L25</f>
        <v>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>
        <v>24</v>
      </c>
      <c r="W25" s="5"/>
      <c r="X25" s="16"/>
      <c r="Y25" s="16"/>
      <c r="Z25" s="16"/>
      <c r="AA25" s="18"/>
      <c r="AB25" s="8" t="str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0.44444444444444442</v>
      </c>
      <c r="AF25" s="84">
        <f t="shared" si="8"/>
        <v>32</v>
      </c>
    </row>
    <row r="26" spans="1:32" ht="18.75">
      <c r="A26" s="96">
        <v>33</v>
      </c>
      <c r="B26" s="11" t="s">
        <v>57</v>
      </c>
      <c r="C26" s="11" t="s">
        <v>116</v>
      </c>
      <c r="D26" s="52" t="s">
        <v>142</v>
      </c>
      <c r="E26" s="53" t="s">
        <v>146</v>
      </c>
      <c r="F26" s="12" t="s">
        <v>140</v>
      </c>
      <c r="G26" s="12">
        <v>1</v>
      </c>
      <c r="H26" s="35">
        <v>20</v>
      </c>
      <c r="I26" s="7">
        <v>140000</v>
      </c>
      <c r="J26" s="14">
        <v>3244</v>
      </c>
      <c r="K26" s="15">
        <f>L26+4387+7770+5806+7905+7479+7369+7360+2397+6904+7208+7013+6976+6992+2652+6495+7026+7051+7084+4297+6519+7042+3244</f>
        <v>136976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0.44444444444444442</v>
      </c>
      <c r="AF26" s="84">
        <f t="shared" si="8"/>
        <v>33</v>
      </c>
    </row>
    <row r="27" spans="1:32" ht="28.5">
      <c r="A27" s="96">
        <v>34</v>
      </c>
      <c r="B27" s="11" t="s">
        <v>57</v>
      </c>
      <c r="C27" s="11" t="s">
        <v>116</v>
      </c>
      <c r="D27" s="52" t="s">
        <v>142</v>
      </c>
      <c r="E27" s="53" t="s">
        <v>147</v>
      </c>
      <c r="F27" s="12" t="s">
        <v>131</v>
      </c>
      <c r="G27" s="12">
        <v>4</v>
      </c>
      <c r="H27" s="35">
        <v>20</v>
      </c>
      <c r="I27" s="7">
        <v>240000</v>
      </c>
      <c r="J27" s="14">
        <v>9988</v>
      </c>
      <c r="K27" s="15">
        <f>L27+24768+29084+29040+29804+27780+4064+26996+28972+25428+29132+9988</f>
        <v>265056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0.44444444444444442</v>
      </c>
      <c r="AF27" s="84">
        <f t="shared" si="8"/>
        <v>34</v>
      </c>
    </row>
    <row r="28" spans="1:32" ht="28.5">
      <c r="A28" s="96">
        <v>35</v>
      </c>
      <c r="B28" s="11" t="s">
        <v>57</v>
      </c>
      <c r="C28" s="11" t="s">
        <v>116</v>
      </c>
      <c r="D28" s="52" t="s">
        <v>122</v>
      </c>
      <c r="E28" s="53" t="s">
        <v>133</v>
      </c>
      <c r="F28" s="12" t="s">
        <v>131</v>
      </c>
      <c r="G28" s="12">
        <v>4</v>
      </c>
      <c r="H28" s="35">
        <v>20</v>
      </c>
      <c r="I28" s="7">
        <v>240000</v>
      </c>
      <c r="J28" s="14">
        <v>11600</v>
      </c>
      <c r="K28" s="15">
        <f>L28+25004+29968+31848+29672+31736+27000+29200+29420+29140+11600</f>
        <v>274588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20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6"/>
        <v>0</v>
      </c>
      <c r="AE28" s="36">
        <f t="shared" si="7"/>
        <v>0.44444444444444442</v>
      </c>
      <c r="AF28" s="84">
        <f t="shared" si="8"/>
        <v>35</v>
      </c>
    </row>
    <row r="29" spans="1:32" ht="19.5" thickBot="1">
      <c r="A29" s="96">
        <v>36</v>
      </c>
      <c r="B29" s="11" t="s">
        <v>57</v>
      </c>
      <c r="C29" s="11" t="s">
        <v>173</v>
      </c>
      <c r="D29" s="52"/>
      <c r="E29" s="53" t="s">
        <v>174</v>
      </c>
      <c r="F29" s="12" t="s">
        <v>175</v>
      </c>
      <c r="G29" s="12">
        <v>32</v>
      </c>
      <c r="H29" s="35">
        <v>20</v>
      </c>
      <c r="I29" s="7">
        <v>1300000</v>
      </c>
      <c r="J29" s="14">
        <v>465600</v>
      </c>
      <c r="K29" s="15">
        <f>L29+356070+486150+492600</f>
        <v>1800420</v>
      </c>
      <c r="L29" s="15">
        <f>6835*30+8685*30</f>
        <v>465600</v>
      </c>
      <c r="M29" s="15">
        <f t="shared" si="0"/>
        <v>465600</v>
      </c>
      <c r="N29" s="15">
        <v>0</v>
      </c>
      <c r="O29" s="58">
        <f t="shared" si="1"/>
        <v>0</v>
      </c>
      <c r="P29" s="39">
        <f t="shared" si="2"/>
        <v>24</v>
      </c>
      <c r="Q29" s="40">
        <f t="shared" si="3"/>
        <v>0</v>
      </c>
      <c r="R29" s="7"/>
      <c r="S29" s="6"/>
      <c r="T29" s="16"/>
      <c r="U29" s="16"/>
      <c r="V29" s="120"/>
      <c r="W29" s="5"/>
      <c r="X29" s="16"/>
      <c r="Y29" s="16"/>
      <c r="Z29" s="16"/>
      <c r="AA29" s="18"/>
      <c r="AB29" s="8">
        <f t="shared" si="4"/>
        <v>1</v>
      </c>
      <c r="AC29" s="9">
        <f t="shared" si="5"/>
        <v>1</v>
      </c>
      <c r="AD29" s="10">
        <f t="shared" si="6"/>
        <v>1</v>
      </c>
      <c r="AE29" s="36">
        <f t="shared" si="7"/>
        <v>0.44444444444444442</v>
      </c>
      <c r="AF29" s="84">
        <f t="shared" si="8"/>
        <v>36</v>
      </c>
    </row>
    <row r="30" spans="1:32" ht="19.5" thickBot="1">
      <c r="A30" s="549" t="s">
        <v>34</v>
      </c>
      <c r="B30" s="550"/>
      <c r="C30" s="550"/>
      <c r="D30" s="550"/>
      <c r="E30" s="550"/>
      <c r="F30" s="550"/>
      <c r="G30" s="550"/>
      <c r="H30" s="551"/>
      <c r="I30" s="22">
        <f t="shared" ref="I30:N30" si="17">SUM(I6:I29)</f>
        <v>4231700</v>
      </c>
      <c r="J30" s="19">
        <f t="shared" si="17"/>
        <v>650172</v>
      </c>
      <c r="K30" s="20">
        <f t="shared" si="17"/>
        <v>3627465</v>
      </c>
      <c r="L30" s="21">
        <f t="shared" si="17"/>
        <v>600959</v>
      </c>
      <c r="M30" s="20">
        <f t="shared" si="17"/>
        <v>600959</v>
      </c>
      <c r="N30" s="21">
        <f t="shared" si="17"/>
        <v>0</v>
      </c>
      <c r="O30" s="41">
        <f t="shared" si="1"/>
        <v>0</v>
      </c>
      <c r="P30" s="42">
        <f t="shared" ref="P30:AA30" si="18">SUM(P6:P29)</f>
        <v>256</v>
      </c>
      <c r="Q30" s="43">
        <f t="shared" si="18"/>
        <v>320</v>
      </c>
      <c r="R30" s="23">
        <f t="shared" si="18"/>
        <v>3</v>
      </c>
      <c r="S30" s="24">
        <f t="shared" si="18"/>
        <v>14</v>
      </c>
      <c r="T30" s="24">
        <f t="shared" si="18"/>
        <v>10</v>
      </c>
      <c r="U30" s="24">
        <f t="shared" si="18"/>
        <v>0</v>
      </c>
      <c r="V30" s="25">
        <f t="shared" si="18"/>
        <v>48</v>
      </c>
      <c r="W30" s="26">
        <f t="shared" si="18"/>
        <v>197</v>
      </c>
      <c r="X30" s="27">
        <f t="shared" si="18"/>
        <v>0</v>
      </c>
      <c r="Y30" s="27">
        <f t="shared" si="18"/>
        <v>0</v>
      </c>
      <c r="Z30" s="27">
        <f t="shared" si="18"/>
        <v>0</v>
      </c>
      <c r="AA30" s="27">
        <f t="shared" si="18"/>
        <v>48</v>
      </c>
      <c r="AB30" s="28">
        <f>AVERAGE(AB6:AB29)</f>
        <v>0.63636363636363635</v>
      </c>
      <c r="AC30" s="4">
        <f>AVERAGE(AC6:AC29)</f>
        <v>0.44444444444444442</v>
      </c>
      <c r="AD30" s="4">
        <f>AVERAGE(AD6:AD29)</f>
        <v>0.44444444444444442</v>
      </c>
      <c r="AE30" s="29"/>
    </row>
    <row r="31" spans="1:32">
      <c r="T31" s="50" t="s">
        <v>143</v>
      </c>
    </row>
    <row r="32" spans="1:32" ht="18.75">
      <c r="A32" s="2"/>
      <c r="B32" s="2" t="s">
        <v>35</v>
      </c>
      <c r="C32" s="2"/>
      <c r="D32" s="2"/>
      <c r="E32" s="2"/>
      <c r="F32" s="2"/>
      <c r="G32" s="2"/>
      <c r="H32" s="3"/>
      <c r="I32" s="3"/>
      <c r="J32" s="2"/>
      <c r="K32" s="2"/>
      <c r="L32" s="2"/>
      <c r="M32" s="2"/>
      <c r="N32" s="2" t="s">
        <v>36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1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 t="s">
        <v>144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85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27">
      <c r="A47" s="59"/>
      <c r="B47" s="59"/>
      <c r="C47" s="59"/>
      <c r="D47" s="59"/>
      <c r="E47" s="59"/>
      <c r="F47" s="37"/>
      <c r="G47" s="37"/>
      <c r="H47" s="38"/>
      <c r="I47" s="38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F47" s="50"/>
    </row>
    <row r="48" spans="1:32" ht="29.25" customHeight="1">
      <c r="A48" s="60"/>
      <c r="B48" s="60"/>
      <c r="C48" s="61"/>
      <c r="D48" s="61"/>
      <c r="E48" s="61"/>
      <c r="F48" s="60"/>
      <c r="G48" s="60"/>
      <c r="H48" s="60"/>
      <c r="I48" s="60"/>
      <c r="J48" s="60"/>
      <c r="K48" s="60"/>
      <c r="L48" s="60"/>
      <c r="M48" s="61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14.2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36" thickBot="1">
      <c r="A57" s="552" t="s">
        <v>45</v>
      </c>
      <c r="B57" s="552"/>
      <c r="C57" s="552"/>
      <c r="D57" s="552"/>
      <c r="E57" s="552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26.25" thickBot="1">
      <c r="A58" s="553" t="s">
        <v>464</v>
      </c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5"/>
      <c r="N58" s="556" t="s">
        <v>467</v>
      </c>
      <c r="O58" s="557"/>
      <c r="P58" s="557"/>
      <c r="Q58" s="557"/>
      <c r="R58" s="557"/>
      <c r="S58" s="557"/>
      <c r="T58" s="557"/>
      <c r="U58" s="557"/>
      <c r="V58" s="557"/>
      <c r="W58" s="557"/>
      <c r="X58" s="557"/>
      <c r="Y58" s="557"/>
      <c r="Z58" s="557"/>
      <c r="AA58" s="557"/>
      <c r="AB58" s="557"/>
      <c r="AC58" s="557"/>
      <c r="AD58" s="558"/>
    </row>
    <row r="59" spans="1:32" ht="27" customHeight="1">
      <c r="A59" s="559" t="s">
        <v>2</v>
      </c>
      <c r="B59" s="560"/>
      <c r="C59" s="340" t="s">
        <v>46</v>
      </c>
      <c r="D59" s="340" t="s">
        <v>47</v>
      </c>
      <c r="E59" s="340" t="s">
        <v>107</v>
      </c>
      <c r="F59" s="561" t="s">
        <v>106</v>
      </c>
      <c r="G59" s="562"/>
      <c r="H59" s="562"/>
      <c r="I59" s="562"/>
      <c r="J59" s="562"/>
      <c r="K59" s="562"/>
      <c r="L59" s="562"/>
      <c r="M59" s="563"/>
      <c r="N59" s="67" t="s">
        <v>110</v>
      </c>
      <c r="O59" s="340" t="s">
        <v>46</v>
      </c>
      <c r="P59" s="561" t="s">
        <v>47</v>
      </c>
      <c r="Q59" s="564"/>
      <c r="R59" s="561" t="s">
        <v>38</v>
      </c>
      <c r="S59" s="562"/>
      <c r="T59" s="562"/>
      <c r="U59" s="564"/>
      <c r="V59" s="561" t="s">
        <v>48</v>
      </c>
      <c r="W59" s="562"/>
      <c r="X59" s="562"/>
      <c r="Y59" s="562"/>
      <c r="Z59" s="562"/>
      <c r="AA59" s="562"/>
      <c r="AB59" s="562"/>
      <c r="AC59" s="562"/>
      <c r="AD59" s="563"/>
    </row>
    <row r="60" spans="1:32" ht="27" customHeight="1">
      <c r="A60" s="543" t="s">
        <v>138</v>
      </c>
      <c r="B60" s="533"/>
      <c r="C60" s="336" t="s">
        <v>217</v>
      </c>
      <c r="D60" s="336" t="s">
        <v>142</v>
      </c>
      <c r="E60" s="336" t="s">
        <v>241</v>
      </c>
      <c r="F60" s="530" t="s">
        <v>465</v>
      </c>
      <c r="G60" s="531"/>
      <c r="H60" s="531"/>
      <c r="I60" s="531"/>
      <c r="J60" s="531"/>
      <c r="K60" s="531"/>
      <c r="L60" s="531"/>
      <c r="M60" s="532"/>
      <c r="N60" s="339" t="s">
        <v>112</v>
      </c>
      <c r="O60" s="333" t="s">
        <v>346</v>
      </c>
      <c r="P60" s="544" t="s">
        <v>115</v>
      </c>
      <c r="Q60" s="545"/>
      <c r="R60" s="544" t="s">
        <v>413</v>
      </c>
      <c r="S60" s="546"/>
      <c r="T60" s="546"/>
      <c r="U60" s="545"/>
      <c r="V60" s="517" t="s">
        <v>120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116</v>
      </c>
      <c r="B61" s="533"/>
      <c r="C61" s="336" t="s">
        <v>201</v>
      </c>
      <c r="D61" s="336" t="s">
        <v>135</v>
      </c>
      <c r="E61" s="336" t="s">
        <v>430</v>
      </c>
      <c r="F61" s="530" t="s">
        <v>124</v>
      </c>
      <c r="G61" s="531"/>
      <c r="H61" s="531"/>
      <c r="I61" s="531"/>
      <c r="J61" s="531"/>
      <c r="K61" s="531"/>
      <c r="L61" s="531"/>
      <c r="M61" s="532"/>
      <c r="N61" s="339" t="s">
        <v>116</v>
      </c>
      <c r="O61" s="333" t="s">
        <v>201</v>
      </c>
      <c r="P61" s="544" t="s">
        <v>135</v>
      </c>
      <c r="Q61" s="545"/>
      <c r="R61" s="544" t="s">
        <v>430</v>
      </c>
      <c r="S61" s="546"/>
      <c r="T61" s="546"/>
      <c r="U61" s="545"/>
      <c r="V61" s="517" t="s">
        <v>120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 t="s">
        <v>138</v>
      </c>
      <c r="B62" s="533"/>
      <c r="C62" s="336" t="s">
        <v>164</v>
      </c>
      <c r="D62" s="336" t="s">
        <v>244</v>
      </c>
      <c r="E62" s="336" t="s">
        <v>452</v>
      </c>
      <c r="F62" s="530" t="s">
        <v>124</v>
      </c>
      <c r="G62" s="531"/>
      <c r="H62" s="531"/>
      <c r="I62" s="531"/>
      <c r="J62" s="531"/>
      <c r="K62" s="531"/>
      <c r="L62" s="531"/>
      <c r="M62" s="532"/>
      <c r="N62" s="339" t="s">
        <v>138</v>
      </c>
      <c r="O62" s="333" t="s">
        <v>217</v>
      </c>
      <c r="P62" s="544" t="s">
        <v>142</v>
      </c>
      <c r="Q62" s="545"/>
      <c r="R62" s="544" t="s">
        <v>241</v>
      </c>
      <c r="S62" s="546"/>
      <c r="T62" s="546"/>
      <c r="U62" s="545"/>
      <c r="V62" s="517" t="s">
        <v>120</v>
      </c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 t="s">
        <v>138</v>
      </c>
      <c r="B63" s="533"/>
      <c r="C63" s="336" t="s">
        <v>164</v>
      </c>
      <c r="D63" s="336" t="s">
        <v>462</v>
      </c>
      <c r="E63" s="336" t="s">
        <v>463</v>
      </c>
      <c r="F63" s="530" t="s">
        <v>124</v>
      </c>
      <c r="G63" s="531"/>
      <c r="H63" s="531"/>
      <c r="I63" s="531"/>
      <c r="J63" s="531"/>
      <c r="K63" s="531"/>
      <c r="L63" s="531"/>
      <c r="M63" s="532"/>
      <c r="N63" s="339" t="s">
        <v>112</v>
      </c>
      <c r="O63" s="333" t="s">
        <v>230</v>
      </c>
      <c r="P63" s="544" t="s">
        <v>135</v>
      </c>
      <c r="Q63" s="545"/>
      <c r="R63" s="544" t="s">
        <v>266</v>
      </c>
      <c r="S63" s="546"/>
      <c r="T63" s="546"/>
      <c r="U63" s="545"/>
      <c r="V63" s="517" t="s">
        <v>124</v>
      </c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 t="s">
        <v>112</v>
      </c>
      <c r="B64" s="533"/>
      <c r="C64" s="336" t="s">
        <v>346</v>
      </c>
      <c r="D64" s="336" t="s">
        <v>115</v>
      </c>
      <c r="E64" s="336" t="s">
        <v>178</v>
      </c>
      <c r="F64" s="530" t="s">
        <v>466</v>
      </c>
      <c r="G64" s="531"/>
      <c r="H64" s="531"/>
      <c r="I64" s="531"/>
      <c r="J64" s="531"/>
      <c r="K64" s="531"/>
      <c r="L64" s="531"/>
      <c r="M64" s="532"/>
      <c r="N64" s="339" t="s">
        <v>116</v>
      </c>
      <c r="O64" s="333" t="s">
        <v>201</v>
      </c>
      <c r="P64" s="544" t="s">
        <v>135</v>
      </c>
      <c r="Q64" s="545"/>
      <c r="R64" s="544" t="s">
        <v>468</v>
      </c>
      <c r="S64" s="546"/>
      <c r="T64" s="546"/>
      <c r="U64" s="545"/>
      <c r="V64" s="517" t="s">
        <v>124</v>
      </c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43"/>
      <c r="B65" s="533"/>
      <c r="C65" s="336"/>
      <c r="D65" s="336"/>
      <c r="E65" s="336"/>
      <c r="F65" s="530"/>
      <c r="G65" s="531"/>
      <c r="H65" s="531"/>
      <c r="I65" s="531"/>
      <c r="J65" s="531"/>
      <c r="K65" s="531"/>
      <c r="L65" s="531"/>
      <c r="M65" s="532"/>
      <c r="N65" s="339" t="s">
        <v>232</v>
      </c>
      <c r="O65" s="333" t="s">
        <v>158</v>
      </c>
      <c r="P65" s="544" t="s">
        <v>457</v>
      </c>
      <c r="Q65" s="545"/>
      <c r="R65" s="544" t="s">
        <v>469</v>
      </c>
      <c r="S65" s="546"/>
      <c r="T65" s="546"/>
      <c r="U65" s="545"/>
      <c r="V65" s="517" t="s">
        <v>194</v>
      </c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43"/>
      <c r="B66" s="533"/>
      <c r="C66" s="336"/>
      <c r="D66" s="336"/>
      <c r="E66" s="336"/>
      <c r="F66" s="530"/>
      <c r="G66" s="531"/>
      <c r="H66" s="531"/>
      <c r="I66" s="531"/>
      <c r="J66" s="531"/>
      <c r="K66" s="531"/>
      <c r="L66" s="531"/>
      <c r="M66" s="532"/>
      <c r="N66" s="339"/>
      <c r="O66" s="333"/>
      <c r="P66" s="544"/>
      <c r="Q66" s="545"/>
      <c r="R66" s="544"/>
      <c r="S66" s="546"/>
      <c r="T66" s="546"/>
      <c r="U66" s="545"/>
      <c r="V66" s="517"/>
      <c r="W66" s="517"/>
      <c r="X66" s="517"/>
      <c r="Y66" s="517"/>
      <c r="Z66" s="517"/>
      <c r="AA66" s="517"/>
      <c r="AB66" s="517"/>
      <c r="AC66" s="517"/>
      <c r="AD66" s="534"/>
    </row>
    <row r="67" spans="1:32" ht="27" customHeight="1">
      <c r="A67" s="528"/>
      <c r="B67" s="529"/>
      <c r="C67" s="335"/>
      <c r="D67" s="335"/>
      <c r="E67" s="336"/>
      <c r="F67" s="530"/>
      <c r="G67" s="531"/>
      <c r="H67" s="531"/>
      <c r="I67" s="531"/>
      <c r="J67" s="531"/>
      <c r="K67" s="531"/>
      <c r="L67" s="531"/>
      <c r="M67" s="532"/>
      <c r="N67" s="339"/>
      <c r="O67" s="333"/>
      <c r="P67" s="544"/>
      <c r="Q67" s="545"/>
      <c r="R67" s="544"/>
      <c r="S67" s="546"/>
      <c r="T67" s="546"/>
      <c r="U67" s="545"/>
      <c r="V67" s="517"/>
      <c r="W67" s="517"/>
      <c r="X67" s="517"/>
      <c r="Y67" s="517"/>
      <c r="Z67" s="517"/>
      <c r="AA67" s="517"/>
      <c r="AB67" s="517"/>
      <c r="AC67" s="517"/>
      <c r="AD67" s="534"/>
    </row>
    <row r="68" spans="1:32" ht="27" customHeight="1">
      <c r="A68" s="528"/>
      <c r="B68" s="529"/>
      <c r="C68" s="335"/>
      <c r="D68" s="335"/>
      <c r="E68" s="336"/>
      <c r="F68" s="530"/>
      <c r="G68" s="531"/>
      <c r="H68" s="531"/>
      <c r="I68" s="531"/>
      <c r="J68" s="531"/>
      <c r="K68" s="531"/>
      <c r="L68" s="531"/>
      <c r="M68" s="532"/>
      <c r="N68" s="339"/>
      <c r="O68" s="333"/>
      <c r="P68" s="533"/>
      <c r="Q68" s="533"/>
      <c r="R68" s="533"/>
      <c r="S68" s="533"/>
      <c r="T68" s="533"/>
      <c r="U68" s="533"/>
      <c r="V68" s="517"/>
      <c r="W68" s="517"/>
      <c r="X68" s="517"/>
      <c r="Y68" s="517"/>
      <c r="Z68" s="517"/>
      <c r="AA68" s="517"/>
      <c r="AB68" s="517"/>
      <c r="AC68" s="517"/>
      <c r="AD68" s="534"/>
      <c r="AF68" s="84">
        <f>8*3000</f>
        <v>24000</v>
      </c>
    </row>
    <row r="69" spans="1:32" ht="27" customHeight="1" thickBot="1">
      <c r="A69" s="535"/>
      <c r="B69" s="536"/>
      <c r="C69" s="337"/>
      <c r="D69" s="338"/>
      <c r="E69" s="337"/>
      <c r="F69" s="537"/>
      <c r="G69" s="538"/>
      <c r="H69" s="538"/>
      <c r="I69" s="538"/>
      <c r="J69" s="538"/>
      <c r="K69" s="538"/>
      <c r="L69" s="538"/>
      <c r="M69" s="539"/>
      <c r="N69" s="111"/>
      <c r="O69" s="103"/>
      <c r="P69" s="540"/>
      <c r="Q69" s="540"/>
      <c r="R69" s="540"/>
      <c r="S69" s="540"/>
      <c r="T69" s="540"/>
      <c r="U69" s="540"/>
      <c r="V69" s="541"/>
      <c r="W69" s="541"/>
      <c r="X69" s="541"/>
      <c r="Y69" s="541"/>
      <c r="Z69" s="541"/>
      <c r="AA69" s="541"/>
      <c r="AB69" s="541"/>
      <c r="AC69" s="541"/>
      <c r="AD69" s="542"/>
      <c r="AF69" s="84">
        <f>16*3000</f>
        <v>48000</v>
      </c>
    </row>
    <row r="70" spans="1:32" ht="27.75" thickBot="1">
      <c r="A70" s="526" t="s">
        <v>470</v>
      </c>
      <c r="B70" s="526"/>
      <c r="C70" s="526"/>
      <c r="D70" s="526"/>
      <c r="E70" s="526"/>
      <c r="F70" s="37"/>
      <c r="G70" s="37"/>
      <c r="H70" s="38"/>
      <c r="I70" s="38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F70" s="84">
        <v>24000</v>
      </c>
    </row>
    <row r="71" spans="1:32" ht="29.25" customHeight="1" thickBot="1">
      <c r="A71" s="527" t="s">
        <v>111</v>
      </c>
      <c r="B71" s="524"/>
      <c r="C71" s="334" t="s">
        <v>2</v>
      </c>
      <c r="D71" s="334" t="s">
        <v>37</v>
      </c>
      <c r="E71" s="334" t="s">
        <v>3</v>
      </c>
      <c r="F71" s="524" t="s">
        <v>109</v>
      </c>
      <c r="G71" s="524"/>
      <c r="H71" s="524"/>
      <c r="I71" s="524"/>
      <c r="J71" s="524"/>
      <c r="K71" s="524" t="s">
        <v>39</v>
      </c>
      <c r="L71" s="524"/>
      <c r="M71" s="334" t="s">
        <v>40</v>
      </c>
      <c r="N71" s="524" t="s">
        <v>41</v>
      </c>
      <c r="O71" s="524"/>
      <c r="P71" s="521" t="s">
        <v>42</v>
      </c>
      <c r="Q71" s="523"/>
      <c r="R71" s="521" t="s">
        <v>43</v>
      </c>
      <c r="S71" s="522"/>
      <c r="T71" s="522"/>
      <c r="U71" s="522"/>
      <c r="V71" s="522"/>
      <c r="W71" s="522"/>
      <c r="X71" s="522"/>
      <c r="Y71" s="522"/>
      <c r="Z71" s="522"/>
      <c r="AA71" s="523"/>
      <c r="AB71" s="524" t="s">
        <v>44</v>
      </c>
      <c r="AC71" s="524"/>
      <c r="AD71" s="525"/>
      <c r="AF71" s="84">
        <f>SUM(AF68:AF70)</f>
        <v>96000</v>
      </c>
    </row>
    <row r="72" spans="1:32" ht="25.5" customHeight="1">
      <c r="A72" s="512">
        <v>1</v>
      </c>
      <c r="B72" s="513"/>
      <c r="C72" s="104" t="s">
        <v>138</v>
      </c>
      <c r="D72" s="329"/>
      <c r="E72" s="332" t="s">
        <v>142</v>
      </c>
      <c r="F72" s="518" t="s">
        <v>423</v>
      </c>
      <c r="G72" s="519"/>
      <c r="H72" s="519"/>
      <c r="I72" s="519"/>
      <c r="J72" s="520"/>
      <c r="K72" s="504" t="s">
        <v>424</v>
      </c>
      <c r="L72" s="504"/>
      <c r="M72" s="51" t="s">
        <v>216</v>
      </c>
      <c r="N72" s="515" t="s">
        <v>164</v>
      </c>
      <c r="O72" s="515"/>
      <c r="P72" s="516">
        <v>100</v>
      </c>
      <c r="Q72" s="516"/>
      <c r="R72" s="517" t="s">
        <v>471</v>
      </c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2</v>
      </c>
      <c r="B73" s="513"/>
      <c r="C73" s="104"/>
      <c r="D73" s="329"/>
      <c r="E73" s="332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3</v>
      </c>
      <c r="B74" s="513"/>
      <c r="C74" s="104"/>
      <c r="D74" s="329"/>
      <c r="E74" s="332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4</v>
      </c>
      <c r="B75" s="513"/>
      <c r="C75" s="104"/>
      <c r="D75" s="329"/>
      <c r="E75" s="332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5</v>
      </c>
      <c r="B76" s="513"/>
      <c r="C76" s="104"/>
      <c r="D76" s="329"/>
      <c r="E76" s="332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6</v>
      </c>
      <c r="B77" s="513"/>
      <c r="C77" s="104"/>
      <c r="D77" s="329"/>
      <c r="E77" s="332"/>
      <c r="F77" s="518"/>
      <c r="G77" s="519"/>
      <c r="H77" s="519"/>
      <c r="I77" s="519"/>
      <c r="J77" s="520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7</v>
      </c>
      <c r="B78" s="513"/>
      <c r="C78" s="104"/>
      <c r="D78" s="329"/>
      <c r="E78" s="332"/>
      <c r="F78" s="518"/>
      <c r="G78" s="519"/>
      <c r="H78" s="519"/>
      <c r="I78" s="519"/>
      <c r="J78" s="520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8</v>
      </c>
      <c r="B79" s="513"/>
      <c r="C79" s="104"/>
      <c r="D79" s="329"/>
      <c r="E79" s="332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5.5" customHeight="1">
      <c r="A80" s="512">
        <v>9</v>
      </c>
      <c r="B80" s="513"/>
      <c r="C80" s="104"/>
      <c r="D80" s="329"/>
      <c r="E80" s="332"/>
      <c r="F80" s="514"/>
      <c r="G80" s="504"/>
      <c r="H80" s="504"/>
      <c r="I80" s="504"/>
      <c r="J80" s="504"/>
      <c r="K80" s="504"/>
      <c r="L80" s="504"/>
      <c r="M80" s="51"/>
      <c r="N80" s="515"/>
      <c r="O80" s="515"/>
      <c r="P80" s="516"/>
      <c r="Q80" s="516"/>
      <c r="R80" s="517"/>
      <c r="S80" s="517"/>
      <c r="T80" s="517"/>
      <c r="U80" s="517"/>
      <c r="V80" s="517"/>
      <c r="W80" s="517"/>
      <c r="X80" s="517"/>
      <c r="Y80" s="517"/>
      <c r="Z80" s="517"/>
      <c r="AA80" s="517"/>
      <c r="AB80" s="504"/>
      <c r="AC80" s="504"/>
      <c r="AD80" s="505"/>
      <c r="AF80" s="50"/>
    </row>
    <row r="81" spans="1:32" ht="25.5" customHeight="1">
      <c r="A81" s="512">
        <v>10</v>
      </c>
      <c r="B81" s="513"/>
      <c r="C81" s="104"/>
      <c r="D81" s="329"/>
      <c r="E81" s="332"/>
      <c r="F81" s="514"/>
      <c r="G81" s="504"/>
      <c r="H81" s="504"/>
      <c r="I81" s="504"/>
      <c r="J81" s="504"/>
      <c r="K81" s="504"/>
      <c r="L81" s="504"/>
      <c r="M81" s="51"/>
      <c r="N81" s="515"/>
      <c r="O81" s="515"/>
      <c r="P81" s="516"/>
      <c r="Q81" s="516"/>
      <c r="R81" s="517"/>
      <c r="S81" s="517"/>
      <c r="T81" s="517"/>
      <c r="U81" s="517"/>
      <c r="V81" s="517"/>
      <c r="W81" s="517"/>
      <c r="X81" s="517"/>
      <c r="Y81" s="517"/>
      <c r="Z81" s="517"/>
      <c r="AA81" s="517"/>
      <c r="AB81" s="504"/>
      <c r="AC81" s="504"/>
      <c r="AD81" s="505"/>
      <c r="AF81" s="50"/>
    </row>
    <row r="82" spans="1:32" ht="26.25" customHeight="1" thickBot="1">
      <c r="A82" s="484" t="s">
        <v>472</v>
      </c>
      <c r="B82" s="484"/>
      <c r="C82" s="484"/>
      <c r="D82" s="484"/>
      <c r="E82" s="484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23.25" thickBot="1">
      <c r="A83" s="506" t="s">
        <v>111</v>
      </c>
      <c r="B83" s="507"/>
      <c r="C83" s="331" t="s">
        <v>2</v>
      </c>
      <c r="D83" s="331" t="s">
        <v>37</v>
      </c>
      <c r="E83" s="331" t="s">
        <v>121</v>
      </c>
      <c r="F83" s="486" t="s">
        <v>38</v>
      </c>
      <c r="G83" s="486"/>
      <c r="H83" s="486"/>
      <c r="I83" s="486"/>
      <c r="J83" s="486"/>
      <c r="K83" s="508" t="s">
        <v>58</v>
      </c>
      <c r="L83" s="509"/>
      <c r="M83" s="509"/>
      <c r="N83" s="509"/>
      <c r="O83" s="509"/>
      <c r="P83" s="509"/>
      <c r="Q83" s="509"/>
      <c r="R83" s="509"/>
      <c r="S83" s="510"/>
      <c r="T83" s="486" t="s">
        <v>49</v>
      </c>
      <c r="U83" s="486"/>
      <c r="V83" s="508" t="s">
        <v>50</v>
      </c>
      <c r="W83" s="510"/>
      <c r="X83" s="509" t="s">
        <v>51</v>
      </c>
      <c r="Y83" s="509"/>
      <c r="Z83" s="509"/>
      <c r="AA83" s="509"/>
      <c r="AB83" s="509"/>
      <c r="AC83" s="509"/>
      <c r="AD83" s="511"/>
      <c r="AF83" s="50"/>
    </row>
    <row r="84" spans="1:32" ht="33.75" customHeight="1">
      <c r="A84" s="478">
        <v>1</v>
      </c>
      <c r="B84" s="479"/>
      <c r="C84" s="330"/>
      <c r="D84" s="330"/>
      <c r="E84" s="65"/>
      <c r="F84" s="493"/>
      <c r="G84" s="494"/>
      <c r="H84" s="494"/>
      <c r="I84" s="494"/>
      <c r="J84" s="495"/>
      <c r="K84" s="496"/>
      <c r="L84" s="497"/>
      <c r="M84" s="497"/>
      <c r="N84" s="497"/>
      <c r="O84" s="497"/>
      <c r="P84" s="497"/>
      <c r="Q84" s="497"/>
      <c r="R84" s="497"/>
      <c r="S84" s="498"/>
      <c r="T84" s="499"/>
      <c r="U84" s="500"/>
      <c r="V84" s="501"/>
      <c r="W84" s="501"/>
      <c r="X84" s="502"/>
      <c r="Y84" s="502"/>
      <c r="Z84" s="502"/>
      <c r="AA84" s="502"/>
      <c r="AB84" s="502"/>
      <c r="AC84" s="502"/>
      <c r="AD84" s="503"/>
      <c r="AF84" s="50"/>
    </row>
    <row r="85" spans="1:32" ht="30" customHeight="1">
      <c r="A85" s="471">
        <f>A84+1</f>
        <v>2</v>
      </c>
      <c r="B85" s="472"/>
      <c r="C85" s="329"/>
      <c r="D85" s="329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ref="A86:A90" si="19">A85+1</f>
        <v>3</v>
      </c>
      <c r="B86" s="472"/>
      <c r="C86" s="329"/>
      <c r="D86" s="329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9"/>
        <v>4</v>
      </c>
      <c r="B87" s="472"/>
      <c r="C87" s="329"/>
      <c r="D87" s="329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9"/>
        <v>5</v>
      </c>
      <c r="B88" s="472"/>
      <c r="C88" s="329"/>
      <c r="D88" s="329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0" customHeight="1">
      <c r="A89" s="471">
        <f t="shared" si="19"/>
        <v>6</v>
      </c>
      <c r="B89" s="472"/>
      <c r="C89" s="329"/>
      <c r="D89" s="329"/>
      <c r="E89" s="32"/>
      <c r="F89" s="472"/>
      <c r="G89" s="472"/>
      <c r="H89" s="472"/>
      <c r="I89" s="472"/>
      <c r="J89" s="472"/>
      <c r="K89" s="487"/>
      <c r="L89" s="488"/>
      <c r="M89" s="488"/>
      <c r="N89" s="488"/>
      <c r="O89" s="488"/>
      <c r="P89" s="488"/>
      <c r="Q89" s="488"/>
      <c r="R89" s="488"/>
      <c r="S89" s="489"/>
      <c r="T89" s="490"/>
      <c r="U89" s="490"/>
      <c r="V89" s="490"/>
      <c r="W89" s="490"/>
      <c r="X89" s="491"/>
      <c r="Y89" s="491"/>
      <c r="Z89" s="491"/>
      <c r="AA89" s="491"/>
      <c r="AB89" s="491"/>
      <c r="AC89" s="491"/>
      <c r="AD89" s="492"/>
      <c r="AF89" s="50"/>
    </row>
    <row r="90" spans="1:32" ht="30" customHeight="1">
      <c r="A90" s="471">
        <f t="shared" si="19"/>
        <v>7</v>
      </c>
      <c r="B90" s="472"/>
      <c r="C90" s="329"/>
      <c r="D90" s="329"/>
      <c r="E90" s="32"/>
      <c r="F90" s="472"/>
      <c r="G90" s="472"/>
      <c r="H90" s="472"/>
      <c r="I90" s="472"/>
      <c r="J90" s="472"/>
      <c r="K90" s="487"/>
      <c r="L90" s="488"/>
      <c r="M90" s="488"/>
      <c r="N90" s="488"/>
      <c r="O90" s="488"/>
      <c r="P90" s="488"/>
      <c r="Q90" s="488"/>
      <c r="R90" s="488"/>
      <c r="S90" s="489"/>
      <c r="T90" s="490"/>
      <c r="U90" s="490"/>
      <c r="V90" s="490"/>
      <c r="W90" s="490"/>
      <c r="X90" s="491"/>
      <c r="Y90" s="491"/>
      <c r="Z90" s="491"/>
      <c r="AA90" s="491"/>
      <c r="AB90" s="491"/>
      <c r="AC90" s="491"/>
      <c r="AD90" s="492"/>
      <c r="AF90" s="50"/>
    </row>
    <row r="91" spans="1:32" ht="36" thickBot="1">
      <c r="A91" s="484" t="s">
        <v>473</v>
      </c>
      <c r="B91" s="484"/>
      <c r="C91" s="484"/>
      <c r="D91" s="484"/>
      <c r="E91" s="484"/>
      <c r="F91" s="37"/>
      <c r="G91" s="37"/>
      <c r="H91" s="38"/>
      <c r="I91" s="38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F91" s="50"/>
    </row>
    <row r="92" spans="1:32" ht="30.75" customHeight="1" thickBot="1">
      <c r="A92" s="485" t="s">
        <v>111</v>
      </c>
      <c r="B92" s="486"/>
      <c r="C92" s="476" t="s">
        <v>52</v>
      </c>
      <c r="D92" s="476"/>
      <c r="E92" s="476" t="s">
        <v>53</v>
      </c>
      <c r="F92" s="476"/>
      <c r="G92" s="476"/>
      <c r="H92" s="476"/>
      <c r="I92" s="476"/>
      <c r="J92" s="476"/>
      <c r="K92" s="476" t="s">
        <v>54</v>
      </c>
      <c r="L92" s="476"/>
      <c r="M92" s="476"/>
      <c r="N92" s="476"/>
      <c r="O92" s="476"/>
      <c r="P92" s="476"/>
      <c r="Q92" s="476"/>
      <c r="R92" s="476"/>
      <c r="S92" s="476"/>
      <c r="T92" s="476" t="s">
        <v>55</v>
      </c>
      <c r="U92" s="476"/>
      <c r="V92" s="476" t="s">
        <v>56</v>
      </c>
      <c r="W92" s="476"/>
      <c r="X92" s="476"/>
      <c r="Y92" s="476" t="s">
        <v>51</v>
      </c>
      <c r="Z92" s="476"/>
      <c r="AA92" s="476"/>
      <c r="AB92" s="476"/>
      <c r="AC92" s="476"/>
      <c r="AD92" s="477"/>
      <c r="AF92" s="50"/>
    </row>
    <row r="93" spans="1:32" ht="30.75" customHeight="1">
      <c r="A93" s="478">
        <v>1</v>
      </c>
      <c r="B93" s="479"/>
      <c r="C93" s="480">
        <v>9</v>
      </c>
      <c r="D93" s="480"/>
      <c r="E93" s="480" t="s">
        <v>125</v>
      </c>
      <c r="F93" s="480"/>
      <c r="G93" s="480"/>
      <c r="H93" s="480"/>
      <c r="I93" s="480"/>
      <c r="J93" s="480"/>
      <c r="K93" s="480" t="s">
        <v>132</v>
      </c>
      <c r="L93" s="480"/>
      <c r="M93" s="480"/>
      <c r="N93" s="480"/>
      <c r="O93" s="480"/>
      <c r="P93" s="480"/>
      <c r="Q93" s="480"/>
      <c r="R93" s="480"/>
      <c r="S93" s="480"/>
      <c r="T93" s="480" t="s">
        <v>126</v>
      </c>
      <c r="U93" s="480"/>
      <c r="V93" s="481">
        <v>1900000</v>
      </c>
      <c r="W93" s="481"/>
      <c r="X93" s="481"/>
      <c r="Y93" s="482"/>
      <c r="Z93" s="482"/>
      <c r="AA93" s="482"/>
      <c r="AB93" s="482"/>
      <c r="AC93" s="482"/>
      <c r="AD93" s="483"/>
      <c r="AF93" s="50"/>
    </row>
    <row r="94" spans="1:32" ht="30.75" customHeight="1">
      <c r="A94" s="471">
        <v>2</v>
      </c>
      <c r="B94" s="472"/>
      <c r="C94" s="473"/>
      <c r="D94" s="473"/>
      <c r="E94" s="473"/>
      <c r="F94" s="473"/>
      <c r="G94" s="473"/>
      <c r="H94" s="473"/>
      <c r="I94" s="473"/>
      <c r="J94" s="473"/>
      <c r="K94" s="473"/>
      <c r="L94" s="473"/>
      <c r="M94" s="473"/>
      <c r="N94" s="473"/>
      <c r="O94" s="473"/>
      <c r="P94" s="473"/>
      <c r="Q94" s="473"/>
      <c r="R94" s="473"/>
      <c r="S94" s="473"/>
      <c r="T94" s="474"/>
      <c r="U94" s="474"/>
      <c r="V94" s="475"/>
      <c r="W94" s="475"/>
      <c r="X94" s="475"/>
      <c r="Y94" s="463"/>
      <c r="Z94" s="463"/>
      <c r="AA94" s="463"/>
      <c r="AB94" s="463"/>
      <c r="AC94" s="463"/>
      <c r="AD94" s="464"/>
      <c r="AF94" s="50"/>
    </row>
    <row r="95" spans="1:32" ht="30.75" customHeight="1" thickBot="1">
      <c r="A95" s="465">
        <v>3</v>
      </c>
      <c r="B95" s="466"/>
      <c r="C95" s="467"/>
      <c r="D95" s="467"/>
      <c r="E95" s="467"/>
      <c r="F95" s="467"/>
      <c r="G95" s="467"/>
      <c r="H95" s="467"/>
      <c r="I95" s="467"/>
      <c r="J95" s="467"/>
      <c r="K95" s="467"/>
      <c r="L95" s="467"/>
      <c r="M95" s="467"/>
      <c r="N95" s="467"/>
      <c r="O95" s="467"/>
      <c r="P95" s="467"/>
      <c r="Q95" s="467"/>
      <c r="R95" s="467"/>
      <c r="S95" s="467"/>
      <c r="T95" s="467"/>
      <c r="U95" s="467"/>
      <c r="V95" s="468"/>
      <c r="W95" s="468"/>
      <c r="X95" s="468"/>
      <c r="Y95" s="469"/>
      <c r="Z95" s="469"/>
      <c r="AA95" s="469"/>
      <c r="AB95" s="469"/>
      <c r="AC95" s="469"/>
      <c r="AD95" s="470"/>
      <c r="AF95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0:H30"/>
    <mergeCell ref="A57:E57"/>
    <mergeCell ref="A58:M58"/>
    <mergeCell ref="N58:AD58"/>
    <mergeCell ref="A59:B59"/>
    <mergeCell ref="F59:M59"/>
    <mergeCell ref="P59:Q59"/>
    <mergeCell ref="R59:U59"/>
    <mergeCell ref="V59:AD59"/>
    <mergeCell ref="I4:O4"/>
    <mergeCell ref="P4:Q4"/>
    <mergeCell ref="R4:V4"/>
    <mergeCell ref="W4:AA4"/>
    <mergeCell ref="AB4:AB5"/>
    <mergeCell ref="AC4:AC5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R68:U68"/>
    <mergeCell ref="V68:AD68"/>
    <mergeCell ref="A69:B69"/>
    <mergeCell ref="F69:M69"/>
    <mergeCell ref="P69:Q69"/>
    <mergeCell ref="R69:U69"/>
    <mergeCell ref="V69:AD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70:E70"/>
    <mergeCell ref="A71:B71"/>
    <mergeCell ref="F71:J71"/>
    <mergeCell ref="K71:L71"/>
    <mergeCell ref="N71:O71"/>
    <mergeCell ref="P71:Q71"/>
    <mergeCell ref="A68:B68"/>
    <mergeCell ref="F68:M68"/>
    <mergeCell ref="P68:Q68"/>
    <mergeCell ref="R71:AA71"/>
    <mergeCell ref="AB71:AD71"/>
    <mergeCell ref="A72:B72"/>
    <mergeCell ref="F72:J72"/>
    <mergeCell ref="K72:L72"/>
    <mergeCell ref="N72:O72"/>
    <mergeCell ref="P72:Q72"/>
    <mergeCell ref="R72:AA72"/>
    <mergeCell ref="AB72:AD72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B80"/>
    <mergeCell ref="F80:J80"/>
    <mergeCell ref="K80:L80"/>
    <mergeCell ref="N80:O80"/>
    <mergeCell ref="P80:Q80"/>
    <mergeCell ref="R80:AA80"/>
    <mergeCell ref="AB80:AD80"/>
    <mergeCell ref="A79:B79"/>
    <mergeCell ref="F79:J79"/>
    <mergeCell ref="K79:L79"/>
    <mergeCell ref="N79:O79"/>
    <mergeCell ref="P79:Q79"/>
    <mergeCell ref="R79:AA79"/>
    <mergeCell ref="AB81:AD81"/>
    <mergeCell ref="A82:E82"/>
    <mergeCell ref="A83:B83"/>
    <mergeCell ref="F83:J83"/>
    <mergeCell ref="K83:S83"/>
    <mergeCell ref="T83:U83"/>
    <mergeCell ref="V83:W83"/>
    <mergeCell ref="X83:AD83"/>
    <mergeCell ref="A81:B81"/>
    <mergeCell ref="F81:J81"/>
    <mergeCell ref="K81:L81"/>
    <mergeCell ref="N81:O81"/>
    <mergeCell ref="P81:Q81"/>
    <mergeCell ref="R81:AA81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91:E91"/>
    <mergeCell ref="A92:B92"/>
    <mergeCell ref="C92:D92"/>
    <mergeCell ref="E92:J92"/>
    <mergeCell ref="K92:S92"/>
    <mergeCell ref="T92:U92"/>
    <mergeCell ref="A90:B90"/>
    <mergeCell ref="F90:J90"/>
    <mergeCell ref="K90:S90"/>
    <mergeCell ref="T90:U90"/>
    <mergeCell ref="V92:X92"/>
    <mergeCell ref="Y92:AD92"/>
    <mergeCell ref="A93:B93"/>
    <mergeCell ref="C93:D93"/>
    <mergeCell ref="E93:J93"/>
    <mergeCell ref="K93:S93"/>
    <mergeCell ref="T93:U93"/>
    <mergeCell ref="V93:X93"/>
    <mergeCell ref="Y93:AD93"/>
    <mergeCell ref="Y94:AD94"/>
    <mergeCell ref="A95:B95"/>
    <mergeCell ref="C95:D95"/>
    <mergeCell ref="E95:J95"/>
    <mergeCell ref="K95:S95"/>
    <mergeCell ref="T95:U95"/>
    <mergeCell ref="V95:X95"/>
    <mergeCell ref="Y95:AD95"/>
    <mergeCell ref="A94:B94"/>
    <mergeCell ref="C94:D94"/>
    <mergeCell ref="E94:J94"/>
    <mergeCell ref="K94:S94"/>
    <mergeCell ref="T94:U94"/>
    <mergeCell ref="V94:X94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5" max="29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D640-792B-41B1-AC80-5599953C0D65}">
  <sheetPr>
    <pageSetUpPr fitToPage="1"/>
  </sheetPr>
  <dimension ref="A1:AF93"/>
  <sheetViews>
    <sheetView view="pageBreakPreview" zoomScale="70" zoomScaleNormal="72" zoomScaleSheetLayoutView="70" workbookViewId="0">
      <selection activeCell="R65" sqref="R65:U65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474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342" t="s">
        <v>17</v>
      </c>
      <c r="L5" s="342" t="s">
        <v>18</v>
      </c>
      <c r="M5" s="342" t="s">
        <v>19</v>
      </c>
      <c r="N5" s="342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476</v>
      </c>
      <c r="C6" s="34" t="s">
        <v>112</v>
      </c>
      <c r="D6" s="52" t="s">
        <v>475</v>
      </c>
      <c r="E6" s="53" t="s">
        <v>454</v>
      </c>
      <c r="F6" s="30" t="s">
        <v>141</v>
      </c>
      <c r="G6" s="12">
        <v>1</v>
      </c>
      <c r="H6" s="13">
        <v>24</v>
      </c>
      <c r="I6" s="31">
        <v>150</v>
      </c>
      <c r="J6" s="14">
        <v>150</v>
      </c>
      <c r="K6" s="15">
        <f>L6</f>
        <v>150</v>
      </c>
      <c r="L6" s="15">
        <v>150</v>
      </c>
      <c r="M6" s="15">
        <f t="shared" ref="M6:M27" si="0">L6-N6</f>
        <v>150</v>
      </c>
      <c r="N6" s="15">
        <v>0</v>
      </c>
      <c r="O6" s="58">
        <f t="shared" ref="O6:O28" si="1">IF(L6=0,"0",N6/L6)</f>
        <v>0</v>
      </c>
      <c r="P6" s="39">
        <f t="shared" ref="P6:P27" si="2">IF(L6=0,"0",(24-Q6))</f>
        <v>4</v>
      </c>
      <c r="Q6" s="40">
        <f t="shared" ref="Q6:Q27" si="3">SUM(R6:AA6)</f>
        <v>20</v>
      </c>
      <c r="R6" s="7"/>
      <c r="S6" s="6"/>
      <c r="T6" s="16"/>
      <c r="U6" s="16"/>
      <c r="V6" s="17"/>
      <c r="W6" s="5"/>
      <c r="X6" s="16"/>
      <c r="Y6" s="16"/>
      <c r="Z6" s="16"/>
      <c r="AA6" s="18">
        <v>20</v>
      </c>
      <c r="AB6" s="8">
        <f t="shared" ref="AB6:AB27" si="4">IF(J6=0,"0",(L6/J6))</f>
        <v>1</v>
      </c>
      <c r="AC6" s="9">
        <f t="shared" ref="AC6:AC27" si="5">IF(P6=0,"0",(P6/24))</f>
        <v>0.16666666666666666</v>
      </c>
      <c r="AD6" s="10">
        <f t="shared" ref="AD6:AD27" si="6">AC6*AB6*(1-O6)</f>
        <v>0.16666666666666666</v>
      </c>
      <c r="AE6" s="36">
        <f t="shared" ref="AE6:AE27" si="7">$AD$28</f>
        <v>0.52083333333333326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180000</v>
      </c>
      <c r="J7" s="14">
        <v>3810</v>
      </c>
      <c r="K7" s="15">
        <f>L7+4540+5413+4776</f>
        <v>18539</v>
      </c>
      <c r="L7" s="15">
        <f>2205+1605</f>
        <v>3810</v>
      </c>
      <c r="M7" s="15">
        <f t="shared" si="0"/>
        <v>3810</v>
      </c>
      <c r="N7" s="15">
        <v>0</v>
      </c>
      <c r="O7" s="58">
        <f t="shared" si="1"/>
        <v>0</v>
      </c>
      <c r="P7" s="39">
        <f t="shared" si="2"/>
        <v>19</v>
      </c>
      <c r="Q7" s="40">
        <f t="shared" si="3"/>
        <v>5</v>
      </c>
      <c r="R7" s="7"/>
      <c r="S7" s="6">
        <v>5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0.79166666666666663</v>
      </c>
      <c r="AD7" s="10">
        <f t="shared" si="6"/>
        <v>0.79166666666666663</v>
      </c>
      <c r="AE7" s="36">
        <f t="shared" si="7"/>
        <v>0.52083333333333326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180000</v>
      </c>
      <c r="J8" s="14">
        <v>11856</v>
      </c>
      <c r="K8" s="15">
        <f>L8+8132+2262+5886+10522+11854+11762+11766+11818+11592+5898+11758+11820+11712</f>
        <v>138638</v>
      </c>
      <c r="L8" s="15">
        <f>2958*2+2970*2</f>
        <v>11856</v>
      </c>
      <c r="M8" s="15">
        <f t="shared" si="0"/>
        <v>11856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0.52083333333333326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180000</v>
      </c>
      <c r="J9" s="14">
        <v>11800</v>
      </c>
      <c r="K9" s="15">
        <f>L9+10280+10788+10818+10814+11584+6366+11696+11770+11638</f>
        <v>107554</v>
      </c>
      <c r="L9" s="15">
        <f>2943*2+2957*2</f>
        <v>11800</v>
      </c>
      <c r="M9" s="15">
        <f t="shared" si="0"/>
        <v>11800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0.52083333333333326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112</v>
      </c>
      <c r="D10" s="52" t="s">
        <v>123</v>
      </c>
      <c r="E10" s="53" t="s">
        <v>266</v>
      </c>
      <c r="F10" s="30" t="s">
        <v>128</v>
      </c>
      <c r="G10" s="33">
        <v>1</v>
      </c>
      <c r="H10" s="35">
        <v>24</v>
      </c>
      <c r="I10" s="7">
        <v>22000</v>
      </c>
      <c r="J10" s="14">
        <v>4028</v>
      </c>
      <c r="K10" s="15">
        <f>L10</f>
        <v>4028</v>
      </c>
      <c r="L10" s="15">
        <f>1238+2790</f>
        <v>4028</v>
      </c>
      <c r="M10" s="15">
        <f t="shared" si="0"/>
        <v>4028</v>
      </c>
      <c r="N10" s="15">
        <v>0</v>
      </c>
      <c r="O10" s="58">
        <f t="shared" si="1"/>
        <v>0</v>
      </c>
      <c r="P10" s="39">
        <f t="shared" si="2"/>
        <v>20</v>
      </c>
      <c r="Q10" s="40">
        <f t="shared" si="3"/>
        <v>4</v>
      </c>
      <c r="R10" s="7"/>
      <c r="S10" s="6"/>
      <c r="T10" s="16">
        <v>4</v>
      </c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0.83333333333333337</v>
      </c>
      <c r="AD10" s="10">
        <f t="shared" si="6"/>
        <v>0.83333333333333337</v>
      </c>
      <c r="AE10" s="36">
        <f t="shared" si="7"/>
        <v>0.52083333333333326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123</v>
      </c>
      <c r="E11" s="53" t="s">
        <v>468</v>
      </c>
      <c r="F11" s="30" t="s">
        <v>128</v>
      </c>
      <c r="G11" s="33">
        <v>1</v>
      </c>
      <c r="H11" s="35">
        <v>24</v>
      </c>
      <c r="I11" s="7">
        <v>10000</v>
      </c>
      <c r="J11" s="14">
        <v>3886</v>
      </c>
      <c r="K11" s="15">
        <f>L11</f>
        <v>3886</v>
      </c>
      <c r="L11" s="15">
        <f>680+3206</f>
        <v>3886</v>
      </c>
      <c r="M11" s="15">
        <f t="shared" si="0"/>
        <v>3886</v>
      </c>
      <c r="N11" s="15">
        <v>0</v>
      </c>
      <c r="O11" s="58">
        <f t="shared" si="1"/>
        <v>0</v>
      </c>
      <c r="P11" s="39">
        <f t="shared" si="2"/>
        <v>15</v>
      </c>
      <c r="Q11" s="40">
        <f t="shared" si="3"/>
        <v>9</v>
      </c>
      <c r="R11" s="7"/>
      <c r="S11" s="6">
        <v>9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0.625</v>
      </c>
      <c r="AD11" s="10">
        <f t="shared" si="6"/>
        <v>0.625</v>
      </c>
      <c r="AE11" s="36">
        <f t="shared" si="7"/>
        <v>0.52083333333333326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138</v>
      </c>
      <c r="D12" s="52" t="s">
        <v>115</v>
      </c>
      <c r="E12" s="53" t="s">
        <v>381</v>
      </c>
      <c r="F12" s="30" t="s">
        <v>139</v>
      </c>
      <c r="G12" s="12">
        <v>2</v>
      </c>
      <c r="H12" s="13">
        <v>22</v>
      </c>
      <c r="I12" s="31">
        <v>20000</v>
      </c>
      <c r="J12" s="5">
        <v>1736</v>
      </c>
      <c r="K12" s="15">
        <f>L12+8174+10376+1736</f>
        <v>20286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/>
      <c r="X12" s="16"/>
      <c r="Y12" s="16"/>
      <c r="Z12" s="16"/>
      <c r="AA12" s="18">
        <v>24</v>
      </c>
      <c r="AB12" s="8">
        <f t="shared" si="4"/>
        <v>0</v>
      </c>
      <c r="AC12" s="9">
        <f t="shared" si="5"/>
        <v>0</v>
      </c>
      <c r="AD12" s="10">
        <f t="shared" si="6"/>
        <v>0</v>
      </c>
      <c r="AE12" s="36">
        <f t="shared" si="7"/>
        <v>0.52083333333333326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123</v>
      </c>
      <c r="E13" s="53" t="s">
        <v>179</v>
      </c>
      <c r="F13" s="30" t="s">
        <v>128</v>
      </c>
      <c r="G13" s="33">
        <v>2</v>
      </c>
      <c r="H13" s="35">
        <v>35</v>
      </c>
      <c r="I13" s="7">
        <v>190000</v>
      </c>
      <c r="J13" s="14">
        <v>11062</v>
      </c>
      <c r="K13" s="15">
        <f>L13+6644+12322+12086+12660+12576+12284+12314+12182+11830+12272+12308+9086</f>
        <v>149626</v>
      </c>
      <c r="L13" s="15">
        <f>3033*2+2498*2</f>
        <v>11062</v>
      </c>
      <c r="M13" s="15">
        <f t="shared" si="0"/>
        <v>11062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6"/>
        <v>1</v>
      </c>
      <c r="AE13" s="36">
        <f t="shared" si="7"/>
        <v>0.52083333333333326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232</v>
      </c>
      <c r="D14" s="52" t="s">
        <v>477</v>
      </c>
      <c r="E14" s="53" t="s">
        <v>469</v>
      </c>
      <c r="F14" s="30" t="s">
        <v>171</v>
      </c>
      <c r="G14" s="33">
        <v>1</v>
      </c>
      <c r="H14" s="35">
        <v>50</v>
      </c>
      <c r="I14" s="7">
        <v>700</v>
      </c>
      <c r="J14" s="5">
        <v>750</v>
      </c>
      <c r="K14" s="15">
        <f>L14</f>
        <v>750</v>
      </c>
      <c r="L14" s="15">
        <v>750</v>
      </c>
      <c r="M14" s="15">
        <f t="shared" si="0"/>
        <v>750</v>
      </c>
      <c r="N14" s="15">
        <v>0</v>
      </c>
      <c r="O14" s="58">
        <f t="shared" si="1"/>
        <v>0</v>
      </c>
      <c r="P14" s="39">
        <f t="shared" si="2"/>
        <v>6</v>
      </c>
      <c r="Q14" s="40">
        <f t="shared" si="3"/>
        <v>18</v>
      </c>
      <c r="R14" s="7"/>
      <c r="S14" s="6"/>
      <c r="T14" s="16"/>
      <c r="U14" s="16"/>
      <c r="V14" s="17"/>
      <c r="W14" s="5">
        <v>18</v>
      </c>
      <c r="X14" s="16"/>
      <c r="Y14" s="16"/>
      <c r="Z14" s="16"/>
      <c r="AA14" s="18"/>
      <c r="AB14" s="8">
        <f t="shared" si="4"/>
        <v>1</v>
      </c>
      <c r="AC14" s="9">
        <f t="shared" si="5"/>
        <v>0.25</v>
      </c>
      <c r="AD14" s="10">
        <f t="shared" si="6"/>
        <v>0.25</v>
      </c>
      <c r="AE14" s="36">
        <f t="shared" si="7"/>
        <v>0.52083333333333326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12000</v>
      </c>
      <c r="J15" s="14">
        <v>12356</v>
      </c>
      <c r="K15" s="15">
        <f>L15+12356</f>
        <v>12356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0.52083333333333326</v>
      </c>
      <c r="AF15" s="84">
        <f t="shared" si="8"/>
        <v>10</v>
      </c>
    </row>
    <row r="16" spans="1:32" ht="27" customHeight="1">
      <c r="A16" s="112">
        <v>11</v>
      </c>
      <c r="B16" s="11" t="s">
        <v>57</v>
      </c>
      <c r="C16" s="34" t="s">
        <v>112</v>
      </c>
      <c r="D16" s="52" t="s">
        <v>137</v>
      </c>
      <c r="E16" s="53" t="s">
        <v>433</v>
      </c>
      <c r="F16" s="30" t="s">
        <v>140</v>
      </c>
      <c r="G16" s="12">
        <v>1</v>
      </c>
      <c r="H16" s="13">
        <v>24</v>
      </c>
      <c r="I16" s="7">
        <v>22000</v>
      </c>
      <c r="J16" s="14">
        <v>5487</v>
      </c>
      <c r="K16" s="15">
        <f>L16+4843</f>
        <v>10330</v>
      </c>
      <c r="L16" s="15">
        <f>2739+2748</f>
        <v>5487</v>
      </c>
      <c r="M16" s="15">
        <f t="shared" si="0"/>
        <v>5487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6"/>
        <v>1</v>
      </c>
      <c r="AE16" s="36">
        <f t="shared" si="7"/>
        <v>0.52083333333333326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138</v>
      </c>
      <c r="D17" s="52" t="s">
        <v>462</v>
      </c>
      <c r="E17" s="53" t="s">
        <v>463</v>
      </c>
      <c r="F17" s="30" t="s">
        <v>461</v>
      </c>
      <c r="G17" s="12">
        <v>1</v>
      </c>
      <c r="H17" s="13">
        <v>24</v>
      </c>
      <c r="I17" s="7">
        <v>8000</v>
      </c>
      <c r="J17" s="14">
        <v>5974</v>
      </c>
      <c r="K17" s="15">
        <f>L17+3204</f>
        <v>9178</v>
      </c>
      <c r="L17" s="15">
        <f>2983+2991</f>
        <v>5974</v>
      </c>
      <c r="M17" s="15">
        <f t="shared" si="0"/>
        <v>5974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6"/>
        <v>1</v>
      </c>
      <c r="AE17" s="36">
        <f t="shared" si="7"/>
        <v>0.52083333333333326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137</v>
      </c>
      <c r="E18" s="53" t="s">
        <v>191</v>
      </c>
      <c r="F18" s="30" t="s">
        <v>130</v>
      </c>
      <c r="G18" s="33">
        <v>1</v>
      </c>
      <c r="H18" s="35">
        <v>24</v>
      </c>
      <c r="I18" s="7">
        <v>180000</v>
      </c>
      <c r="J18" s="14">
        <v>11256</v>
      </c>
      <c r="K18" s="15">
        <f>L18+9952+11100+11616+11336+11468+11654+10384+11002+11590+11484+11300+9654+6186+11446+8364+11404</f>
        <v>181196</v>
      </c>
      <c r="L18" s="15">
        <f>2650*2+2889*2+178</f>
        <v>11256</v>
      </c>
      <c r="M18" s="15">
        <f t="shared" si="0"/>
        <v>11256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6"/>
        <v>1</v>
      </c>
      <c r="AE18" s="36">
        <f t="shared" si="7"/>
        <v>0.52083333333333326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112</v>
      </c>
      <c r="D19" s="52" t="s">
        <v>123</v>
      </c>
      <c r="E19" s="53" t="s">
        <v>478</v>
      </c>
      <c r="F19" s="30" t="s">
        <v>128</v>
      </c>
      <c r="G19" s="33">
        <v>1</v>
      </c>
      <c r="H19" s="35">
        <v>24</v>
      </c>
      <c r="I19" s="7">
        <v>7000</v>
      </c>
      <c r="J19" s="14">
        <v>3623</v>
      </c>
      <c r="K19" s="15">
        <f>L19</f>
        <v>3623</v>
      </c>
      <c r="L19" s="15">
        <f>911+2712</f>
        <v>3623</v>
      </c>
      <c r="M19" s="15">
        <f t="shared" si="0"/>
        <v>3623</v>
      </c>
      <c r="N19" s="15">
        <v>0</v>
      </c>
      <c r="O19" s="58">
        <f t="shared" si="1"/>
        <v>0</v>
      </c>
      <c r="P19" s="39">
        <f t="shared" si="2"/>
        <v>18</v>
      </c>
      <c r="Q19" s="40">
        <f t="shared" si="3"/>
        <v>6</v>
      </c>
      <c r="R19" s="7"/>
      <c r="S19" s="6">
        <v>6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0.75</v>
      </c>
      <c r="AD19" s="10">
        <f t="shared" si="6"/>
        <v>0.75</v>
      </c>
      <c r="AE19" s="36">
        <f t="shared" si="7"/>
        <v>0.52083333333333326</v>
      </c>
      <c r="AF19" s="84">
        <f t="shared" si="8"/>
        <v>14</v>
      </c>
    </row>
    <row r="20" spans="1:32" ht="27" customHeight="1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206</v>
      </c>
      <c r="G20" s="12">
        <v>1</v>
      </c>
      <c r="H20" s="13">
        <v>24</v>
      </c>
      <c r="I20" s="7">
        <v>230000</v>
      </c>
      <c r="J20" s="14">
        <v>3140</v>
      </c>
      <c r="K20" s="15">
        <f>L20+7008+11154+9077+8768+10676+10588+2521+7242+10236+10216+10614+10620+10632+10760+10206+10892+10136+10692+10896+9992+10630+10894+7459+6981</f>
        <v>232030</v>
      </c>
      <c r="L20" s="15">
        <f>440+2700</f>
        <v>3140</v>
      </c>
      <c r="M20" s="15">
        <f t="shared" si="0"/>
        <v>3140</v>
      </c>
      <c r="N20" s="15">
        <v>0</v>
      </c>
      <c r="O20" s="58">
        <f t="shared" si="1"/>
        <v>0</v>
      </c>
      <c r="P20" s="39">
        <f t="shared" si="2"/>
        <v>16</v>
      </c>
      <c r="Q20" s="40">
        <f t="shared" si="3"/>
        <v>8</v>
      </c>
      <c r="R20" s="7"/>
      <c r="S20" s="6">
        <v>8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0.66666666666666663</v>
      </c>
      <c r="AD20" s="10">
        <f t="shared" si="6"/>
        <v>0.66666666666666663</v>
      </c>
      <c r="AE20" s="36">
        <f t="shared" si="7"/>
        <v>0.52083333333333326</v>
      </c>
      <c r="AF20" s="84">
        <f t="shared" si="8"/>
        <v>15</v>
      </c>
    </row>
    <row r="21" spans="1:32" ht="26.25" customHeight="1">
      <c r="A21" s="96">
        <v>16</v>
      </c>
      <c r="B21" s="11" t="s">
        <v>57</v>
      </c>
      <c r="C21" s="11" t="s">
        <v>113</v>
      </c>
      <c r="D21" s="52"/>
      <c r="E21" s="53" t="s">
        <v>299</v>
      </c>
      <c r="F21" s="12" t="s">
        <v>114</v>
      </c>
      <c r="G21" s="12">
        <v>3</v>
      </c>
      <c r="H21" s="35">
        <v>20</v>
      </c>
      <c r="I21" s="7">
        <v>1000000</v>
      </c>
      <c r="J21" s="14">
        <v>62396</v>
      </c>
      <c r="K21" s="15">
        <f>L21+56500+55900+61924+62232+61132</f>
        <v>360084</v>
      </c>
      <c r="L21" s="15">
        <f>7814*4+7785*4</f>
        <v>62396</v>
      </c>
      <c r="M21" s="15">
        <f t="shared" si="0"/>
        <v>62396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0.52083333333333326</v>
      </c>
      <c r="AF21" s="84">
        <f t="shared" si="8"/>
        <v>16</v>
      </c>
    </row>
    <row r="22" spans="1:32" ht="18.75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0.52083333333333326</v>
      </c>
      <c r="AF22" s="84">
        <f t="shared" si="8"/>
        <v>31</v>
      </c>
    </row>
    <row r="23" spans="1:32" ht="18.75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0.52083333333333326</v>
      </c>
      <c r="AF23" s="84">
        <f t="shared" si="8"/>
        <v>32</v>
      </c>
    </row>
    <row r="24" spans="1:32" ht="18.75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3244</v>
      </c>
      <c r="K24" s="15">
        <f>L24+4387+7770+5806+7905+7479+7369+7360+2397+6904+7208+7013+6976+6992+2652+6495+7026+7051+7084+4297+6519+7042+3244</f>
        <v>136976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20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0.52083333333333326</v>
      </c>
      <c r="AF24" s="84">
        <f t="shared" si="8"/>
        <v>33</v>
      </c>
    </row>
    <row r="25" spans="1:32" ht="28.5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0.52083333333333326</v>
      </c>
      <c r="AF25" s="84">
        <f t="shared" si="8"/>
        <v>34</v>
      </c>
    </row>
    <row r="26" spans="1:32" ht="28.5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0.52083333333333326</v>
      </c>
      <c r="AF26" s="84">
        <f t="shared" si="8"/>
        <v>35</v>
      </c>
    </row>
    <row r="27" spans="1:32" ht="19.5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1300000</v>
      </c>
      <c r="J27" s="14">
        <v>199470</v>
      </c>
      <c r="K27" s="15">
        <f>L27+356070+486150+492600+465600</f>
        <v>1999890</v>
      </c>
      <c r="L27" s="15">
        <f>6649*30</f>
        <v>199470</v>
      </c>
      <c r="M27" s="15">
        <f t="shared" si="0"/>
        <v>199470</v>
      </c>
      <c r="N27" s="15">
        <v>0</v>
      </c>
      <c r="O27" s="58">
        <f t="shared" si="1"/>
        <v>0</v>
      </c>
      <c r="P27" s="39">
        <f t="shared" si="2"/>
        <v>9</v>
      </c>
      <c r="Q27" s="40">
        <f t="shared" si="3"/>
        <v>15</v>
      </c>
      <c r="R27" s="7"/>
      <c r="S27" s="6"/>
      <c r="T27" s="16"/>
      <c r="U27" s="16"/>
      <c r="V27" s="120"/>
      <c r="W27" s="5">
        <v>15</v>
      </c>
      <c r="X27" s="16"/>
      <c r="Y27" s="16"/>
      <c r="Z27" s="16"/>
      <c r="AA27" s="18"/>
      <c r="AB27" s="8">
        <f t="shared" si="4"/>
        <v>1</v>
      </c>
      <c r="AC27" s="9">
        <f t="shared" si="5"/>
        <v>0.375</v>
      </c>
      <c r="AD27" s="10">
        <f t="shared" si="6"/>
        <v>0.375</v>
      </c>
      <c r="AE27" s="36">
        <f t="shared" si="7"/>
        <v>0.52083333333333326</v>
      </c>
      <c r="AF27" s="84">
        <f t="shared" si="8"/>
        <v>36</v>
      </c>
    </row>
    <row r="28" spans="1:32" ht="19.5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9">SUM(I6:I27)</f>
        <v>4161850</v>
      </c>
      <c r="J28" s="19">
        <f t="shared" si="9"/>
        <v>377612</v>
      </c>
      <c r="K28" s="20">
        <f t="shared" si="9"/>
        <v>3928764</v>
      </c>
      <c r="L28" s="21">
        <f t="shared" si="9"/>
        <v>338688</v>
      </c>
      <c r="M28" s="20">
        <f t="shared" si="9"/>
        <v>338688</v>
      </c>
      <c r="N28" s="21">
        <f t="shared" si="9"/>
        <v>0</v>
      </c>
      <c r="O28" s="41">
        <f t="shared" si="1"/>
        <v>0</v>
      </c>
      <c r="P28" s="42">
        <f t="shared" ref="P28:AA28" si="10">SUM(P6:P27)</f>
        <v>275</v>
      </c>
      <c r="Q28" s="43">
        <f t="shared" si="10"/>
        <v>253</v>
      </c>
      <c r="R28" s="23">
        <f t="shared" si="10"/>
        <v>0</v>
      </c>
      <c r="S28" s="24">
        <f t="shared" si="10"/>
        <v>28</v>
      </c>
      <c r="T28" s="24">
        <f t="shared" si="10"/>
        <v>4</v>
      </c>
      <c r="U28" s="24">
        <f t="shared" si="10"/>
        <v>0</v>
      </c>
      <c r="V28" s="25">
        <f t="shared" si="10"/>
        <v>48</v>
      </c>
      <c r="W28" s="26">
        <f t="shared" si="10"/>
        <v>129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44</v>
      </c>
      <c r="AB28" s="28">
        <f>AVERAGE(AB6:AB27)</f>
        <v>0.75</v>
      </c>
      <c r="AC28" s="4">
        <f>AVERAGE(AC6:AC27)</f>
        <v>0.52083333333333326</v>
      </c>
      <c r="AD28" s="4">
        <f>AVERAGE(AD6:AD27)</f>
        <v>0.52083333333333326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479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482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343" t="s">
        <v>46</v>
      </c>
      <c r="D57" s="343" t="s">
        <v>47</v>
      </c>
      <c r="E57" s="343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343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43" t="s">
        <v>138</v>
      </c>
      <c r="B58" s="533"/>
      <c r="C58" s="346" t="s">
        <v>217</v>
      </c>
      <c r="D58" s="346" t="s">
        <v>142</v>
      </c>
      <c r="E58" s="346" t="s">
        <v>241</v>
      </c>
      <c r="F58" s="530" t="s">
        <v>211</v>
      </c>
      <c r="G58" s="531"/>
      <c r="H58" s="531"/>
      <c r="I58" s="531"/>
      <c r="J58" s="531"/>
      <c r="K58" s="531"/>
      <c r="L58" s="531"/>
      <c r="M58" s="532"/>
      <c r="N58" s="345" t="s">
        <v>138</v>
      </c>
      <c r="O58" s="351" t="s">
        <v>217</v>
      </c>
      <c r="P58" s="544" t="s">
        <v>142</v>
      </c>
      <c r="Q58" s="545"/>
      <c r="R58" s="544" t="s">
        <v>241</v>
      </c>
      <c r="S58" s="546"/>
      <c r="T58" s="546"/>
      <c r="U58" s="545"/>
      <c r="V58" s="517" t="s">
        <v>120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43" t="s">
        <v>116</v>
      </c>
      <c r="B59" s="533"/>
      <c r="C59" s="346" t="s">
        <v>201</v>
      </c>
      <c r="D59" s="346" t="s">
        <v>135</v>
      </c>
      <c r="E59" s="346" t="s">
        <v>468</v>
      </c>
      <c r="F59" s="530" t="s">
        <v>124</v>
      </c>
      <c r="G59" s="531"/>
      <c r="H59" s="531"/>
      <c r="I59" s="531"/>
      <c r="J59" s="531"/>
      <c r="K59" s="531"/>
      <c r="L59" s="531"/>
      <c r="M59" s="532"/>
      <c r="N59" s="345" t="s">
        <v>138</v>
      </c>
      <c r="O59" s="351" t="s">
        <v>164</v>
      </c>
      <c r="P59" s="544" t="s">
        <v>462</v>
      </c>
      <c r="Q59" s="545"/>
      <c r="R59" s="544" t="s">
        <v>483</v>
      </c>
      <c r="S59" s="546"/>
      <c r="T59" s="546"/>
      <c r="U59" s="545"/>
      <c r="V59" s="517" t="s">
        <v>124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112</v>
      </c>
      <c r="B60" s="533"/>
      <c r="C60" s="346" t="s">
        <v>346</v>
      </c>
      <c r="D60" s="346" t="s">
        <v>115</v>
      </c>
      <c r="E60" s="346" t="s">
        <v>178</v>
      </c>
      <c r="F60" s="530" t="s">
        <v>480</v>
      </c>
      <c r="G60" s="531"/>
      <c r="H60" s="531"/>
      <c r="I60" s="531"/>
      <c r="J60" s="531"/>
      <c r="K60" s="531"/>
      <c r="L60" s="531"/>
      <c r="M60" s="532"/>
      <c r="N60" s="345" t="s">
        <v>112</v>
      </c>
      <c r="O60" s="351" t="s">
        <v>167</v>
      </c>
      <c r="P60" s="544" t="s">
        <v>137</v>
      </c>
      <c r="Q60" s="545"/>
      <c r="R60" s="544" t="s">
        <v>191</v>
      </c>
      <c r="S60" s="546"/>
      <c r="T60" s="546"/>
      <c r="U60" s="545"/>
      <c r="V60" s="517" t="s">
        <v>120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112</v>
      </c>
      <c r="B61" s="533"/>
      <c r="C61" s="346" t="s">
        <v>167</v>
      </c>
      <c r="D61" s="346" t="s">
        <v>137</v>
      </c>
      <c r="E61" s="346" t="s">
        <v>191</v>
      </c>
      <c r="F61" s="530" t="s">
        <v>481</v>
      </c>
      <c r="G61" s="531"/>
      <c r="H61" s="531"/>
      <c r="I61" s="531"/>
      <c r="J61" s="531"/>
      <c r="K61" s="531"/>
      <c r="L61" s="531"/>
      <c r="M61" s="532"/>
      <c r="N61" s="345"/>
      <c r="O61" s="351"/>
      <c r="P61" s="544"/>
      <c r="Q61" s="545"/>
      <c r="R61" s="544"/>
      <c r="S61" s="546"/>
      <c r="T61" s="546"/>
      <c r="U61" s="545"/>
      <c r="V61" s="517"/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 t="s">
        <v>112</v>
      </c>
      <c r="B62" s="533"/>
      <c r="C62" s="346" t="s">
        <v>161</v>
      </c>
      <c r="D62" s="346" t="s">
        <v>135</v>
      </c>
      <c r="E62" s="346" t="s">
        <v>478</v>
      </c>
      <c r="F62" s="530" t="s">
        <v>124</v>
      </c>
      <c r="G62" s="531"/>
      <c r="H62" s="531"/>
      <c r="I62" s="531"/>
      <c r="J62" s="531"/>
      <c r="K62" s="531"/>
      <c r="L62" s="531"/>
      <c r="M62" s="532"/>
      <c r="N62" s="345"/>
      <c r="O62" s="351"/>
      <c r="P62" s="544"/>
      <c r="Q62" s="545"/>
      <c r="R62" s="544"/>
      <c r="S62" s="546"/>
      <c r="T62" s="546"/>
      <c r="U62" s="545"/>
      <c r="V62" s="517"/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 t="s">
        <v>232</v>
      </c>
      <c r="B63" s="533"/>
      <c r="C63" s="346" t="s">
        <v>158</v>
      </c>
      <c r="D63" s="346" t="s">
        <v>477</v>
      </c>
      <c r="E63" s="346" t="s">
        <v>469</v>
      </c>
      <c r="F63" s="530" t="s">
        <v>124</v>
      </c>
      <c r="G63" s="531"/>
      <c r="H63" s="531"/>
      <c r="I63" s="531"/>
      <c r="J63" s="531"/>
      <c r="K63" s="531"/>
      <c r="L63" s="531"/>
      <c r="M63" s="532"/>
      <c r="N63" s="345"/>
      <c r="O63" s="351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 t="s">
        <v>112</v>
      </c>
      <c r="B64" s="533"/>
      <c r="C64" s="346" t="s">
        <v>230</v>
      </c>
      <c r="D64" s="346" t="s">
        <v>135</v>
      </c>
      <c r="E64" s="346" t="s">
        <v>266</v>
      </c>
      <c r="F64" s="530" t="s">
        <v>124</v>
      </c>
      <c r="G64" s="531"/>
      <c r="H64" s="531"/>
      <c r="I64" s="531"/>
      <c r="J64" s="531"/>
      <c r="K64" s="531"/>
      <c r="L64" s="531"/>
      <c r="M64" s="532"/>
      <c r="N64" s="345"/>
      <c r="O64" s="351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344"/>
      <c r="D65" s="344"/>
      <c r="E65" s="346"/>
      <c r="F65" s="530"/>
      <c r="G65" s="531"/>
      <c r="H65" s="531"/>
      <c r="I65" s="531"/>
      <c r="J65" s="531"/>
      <c r="K65" s="531"/>
      <c r="L65" s="531"/>
      <c r="M65" s="532"/>
      <c r="N65" s="345"/>
      <c r="O65" s="351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344"/>
      <c r="D66" s="344"/>
      <c r="E66" s="346"/>
      <c r="F66" s="530"/>
      <c r="G66" s="531"/>
      <c r="H66" s="531"/>
      <c r="I66" s="531"/>
      <c r="J66" s="531"/>
      <c r="K66" s="531"/>
      <c r="L66" s="531"/>
      <c r="M66" s="532"/>
      <c r="N66" s="345"/>
      <c r="O66" s="351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347"/>
      <c r="D67" s="348"/>
      <c r="E67" s="347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484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349" t="s">
        <v>2</v>
      </c>
      <c r="D69" s="349" t="s">
        <v>37</v>
      </c>
      <c r="E69" s="349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349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 t="s">
        <v>112</v>
      </c>
      <c r="D70" s="353"/>
      <c r="E70" s="350" t="s">
        <v>475</v>
      </c>
      <c r="F70" s="518" t="s">
        <v>454</v>
      </c>
      <c r="G70" s="519"/>
      <c r="H70" s="519"/>
      <c r="I70" s="519"/>
      <c r="J70" s="520"/>
      <c r="K70" s="504" t="s">
        <v>141</v>
      </c>
      <c r="L70" s="504"/>
      <c r="M70" s="51" t="s">
        <v>316</v>
      </c>
      <c r="N70" s="515" t="s">
        <v>307</v>
      </c>
      <c r="O70" s="515"/>
      <c r="P70" s="516">
        <v>50</v>
      </c>
      <c r="Q70" s="516"/>
      <c r="R70" s="517" t="s">
        <v>485</v>
      </c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 t="s">
        <v>116</v>
      </c>
      <c r="D71" s="353"/>
      <c r="E71" s="350" t="s">
        <v>340</v>
      </c>
      <c r="F71" s="518" t="s">
        <v>486</v>
      </c>
      <c r="G71" s="519"/>
      <c r="H71" s="519"/>
      <c r="I71" s="519"/>
      <c r="J71" s="520"/>
      <c r="K71" s="504" t="s">
        <v>140</v>
      </c>
      <c r="L71" s="504"/>
      <c r="M71" s="51" t="s">
        <v>316</v>
      </c>
      <c r="N71" s="515" t="s">
        <v>287</v>
      </c>
      <c r="O71" s="515"/>
      <c r="P71" s="516">
        <v>100</v>
      </c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 t="s">
        <v>116</v>
      </c>
      <c r="D72" s="353"/>
      <c r="E72" s="350" t="s">
        <v>142</v>
      </c>
      <c r="F72" s="518" t="s">
        <v>487</v>
      </c>
      <c r="G72" s="519"/>
      <c r="H72" s="519"/>
      <c r="I72" s="519"/>
      <c r="J72" s="520"/>
      <c r="K72" s="504" t="s">
        <v>140</v>
      </c>
      <c r="L72" s="504"/>
      <c r="M72" s="51" t="s">
        <v>316</v>
      </c>
      <c r="N72" s="515" t="s">
        <v>287</v>
      </c>
      <c r="O72" s="515"/>
      <c r="P72" s="516"/>
      <c r="Q72" s="516"/>
      <c r="R72" s="517" t="s">
        <v>488</v>
      </c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/>
      <c r="D73" s="353"/>
      <c r="E73" s="350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/>
      <c r="D74" s="353"/>
      <c r="E74" s="350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/>
      <c r="D75" s="353"/>
      <c r="E75" s="350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/>
      <c r="D76" s="353"/>
      <c r="E76" s="350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353"/>
      <c r="E77" s="350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353"/>
      <c r="E78" s="350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353"/>
      <c r="E79" s="350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489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352" t="s">
        <v>2</v>
      </c>
      <c r="D81" s="352" t="s">
        <v>37</v>
      </c>
      <c r="E81" s="352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354"/>
      <c r="D82" s="354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353"/>
      <c r="D83" s="353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1">A83+1</f>
        <v>3</v>
      </c>
      <c r="B84" s="472"/>
      <c r="C84" s="353"/>
      <c r="D84" s="353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1"/>
        <v>4</v>
      </c>
      <c r="B85" s="472"/>
      <c r="C85" s="353"/>
      <c r="D85" s="353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1"/>
        <v>5</v>
      </c>
      <c r="B86" s="472"/>
      <c r="C86" s="353"/>
      <c r="D86" s="353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1"/>
        <v>6</v>
      </c>
      <c r="B87" s="472"/>
      <c r="C87" s="353"/>
      <c r="D87" s="353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1"/>
        <v>7</v>
      </c>
      <c r="B88" s="472"/>
      <c r="C88" s="353"/>
      <c r="D88" s="353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490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>
        <v>1900000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3" max="29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746E-8DB9-448D-9A2E-3985546EFC5A}">
  <sheetPr>
    <pageSetUpPr fitToPage="1"/>
  </sheetPr>
  <dimension ref="A1:AF94"/>
  <sheetViews>
    <sheetView view="pageBreakPreview" zoomScale="70" zoomScaleNormal="72" zoomScaleSheetLayoutView="70" workbookViewId="0">
      <selection activeCell="A91" sqref="A91:B91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491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367" t="s">
        <v>17</v>
      </c>
      <c r="L5" s="367" t="s">
        <v>18</v>
      </c>
      <c r="M5" s="367" t="s">
        <v>19</v>
      </c>
      <c r="N5" s="367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476</v>
      </c>
      <c r="C6" s="34" t="s">
        <v>112</v>
      </c>
      <c r="D6" s="52" t="s">
        <v>475</v>
      </c>
      <c r="E6" s="53" t="s">
        <v>454</v>
      </c>
      <c r="F6" s="30" t="s">
        <v>141</v>
      </c>
      <c r="G6" s="12">
        <v>1</v>
      </c>
      <c r="H6" s="13">
        <v>24</v>
      </c>
      <c r="I6" s="31">
        <v>150</v>
      </c>
      <c r="J6" s="14">
        <v>150</v>
      </c>
      <c r="K6" s="15">
        <f>L6+150</f>
        <v>150</v>
      </c>
      <c r="L6" s="15"/>
      <c r="M6" s="15">
        <f t="shared" ref="M6:M28" si="0">L6-N6</f>
        <v>0</v>
      </c>
      <c r="N6" s="15">
        <v>0</v>
      </c>
      <c r="O6" s="58" t="str">
        <f t="shared" ref="O6:O29" si="1">IF(L6=0,"0",N6/L6)</f>
        <v>0</v>
      </c>
      <c r="P6" s="39" t="str">
        <f t="shared" ref="P6:P28" si="2">IF(L6=0,"0",(24-Q6))</f>
        <v>0</v>
      </c>
      <c r="Q6" s="40">
        <f t="shared" ref="Q6:Q28" si="3">SUM(R6:AA6)</f>
        <v>24</v>
      </c>
      <c r="R6" s="7"/>
      <c r="S6" s="6"/>
      <c r="T6" s="16"/>
      <c r="U6" s="16"/>
      <c r="V6" s="17"/>
      <c r="W6" s="5"/>
      <c r="X6" s="16"/>
      <c r="Y6" s="16"/>
      <c r="Z6" s="16"/>
      <c r="AA6" s="18">
        <v>24</v>
      </c>
      <c r="AB6" s="8">
        <f t="shared" ref="AB6:AB28" si="4">IF(J6=0,"0",(L6/J6))</f>
        <v>0</v>
      </c>
      <c r="AC6" s="9">
        <f t="shared" ref="AC6:AC28" si="5">IF(P6=0,"0",(P6/24))</f>
        <v>0</v>
      </c>
      <c r="AD6" s="10">
        <f t="shared" ref="AD6:AD28" si="6">AC6*AB6*(1-O6)</f>
        <v>0</v>
      </c>
      <c r="AE6" s="36">
        <f t="shared" ref="AE6:AE28" si="7">$AD$29</f>
        <v>0.4456521739130434</v>
      </c>
      <c r="AF6" s="84">
        <f t="shared" ref="AF6:AF28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180000</v>
      </c>
      <c r="J7" s="14">
        <v>3773</v>
      </c>
      <c r="K7" s="15">
        <f>L7+4540+5413+4776+3810</f>
        <v>22312</v>
      </c>
      <c r="L7" s="15">
        <f>1591+2182</f>
        <v>3773</v>
      </c>
      <c r="M7" s="15">
        <f t="shared" si="0"/>
        <v>3773</v>
      </c>
      <c r="N7" s="15">
        <v>0</v>
      </c>
      <c r="O7" s="58">
        <f t="shared" si="1"/>
        <v>0</v>
      </c>
      <c r="P7" s="39">
        <f t="shared" si="2"/>
        <v>19</v>
      </c>
      <c r="Q7" s="40">
        <f t="shared" si="3"/>
        <v>5</v>
      </c>
      <c r="R7" s="7"/>
      <c r="S7" s="6">
        <v>5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0.79166666666666663</v>
      </c>
      <c r="AD7" s="10">
        <f t="shared" si="6"/>
        <v>0.79166666666666663</v>
      </c>
      <c r="AE7" s="36">
        <f t="shared" si="7"/>
        <v>0.4456521739130434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180000</v>
      </c>
      <c r="J8" s="14">
        <v>11816</v>
      </c>
      <c r="K8" s="15">
        <f>L8+8132+2262+5886+10522+11854+11762+11766+11818+11592+5898+11758+11820+11712+11856</f>
        <v>150454</v>
      </c>
      <c r="L8" s="15">
        <f>3123*2+2785*2</f>
        <v>11816</v>
      </c>
      <c r="M8" s="15">
        <f t="shared" si="0"/>
        <v>11816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0.4456521739130434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180000</v>
      </c>
      <c r="J9" s="14">
        <v>8836</v>
      </c>
      <c r="K9" s="15">
        <f>L9+10280+10788+10818+10814+11584+6366+11696+11770+11638+11800</f>
        <v>116390</v>
      </c>
      <c r="L9" s="15">
        <f>3016*2+1402*2</f>
        <v>8836</v>
      </c>
      <c r="M9" s="15">
        <f t="shared" si="0"/>
        <v>8836</v>
      </c>
      <c r="N9" s="15">
        <v>0</v>
      </c>
      <c r="O9" s="58">
        <f t="shared" si="1"/>
        <v>0</v>
      </c>
      <c r="P9" s="39">
        <f t="shared" si="2"/>
        <v>20</v>
      </c>
      <c r="Q9" s="40">
        <f t="shared" si="3"/>
        <v>4</v>
      </c>
      <c r="R9" s="7"/>
      <c r="S9" s="6">
        <v>4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0.83333333333333337</v>
      </c>
      <c r="AD9" s="10">
        <f t="shared" si="6"/>
        <v>0.83333333333333337</v>
      </c>
      <c r="AE9" s="36">
        <f t="shared" si="7"/>
        <v>0.4456521739130434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112</v>
      </c>
      <c r="D10" s="52" t="s">
        <v>123</v>
      </c>
      <c r="E10" s="53" t="s">
        <v>266</v>
      </c>
      <c r="F10" s="30" t="s">
        <v>128</v>
      </c>
      <c r="G10" s="33">
        <v>1</v>
      </c>
      <c r="H10" s="35">
        <v>24</v>
      </c>
      <c r="I10" s="7">
        <v>22000</v>
      </c>
      <c r="J10" s="14">
        <v>5980</v>
      </c>
      <c r="K10" s="15">
        <f>L10+4028</f>
        <v>10008</v>
      </c>
      <c r="L10" s="15">
        <f>3173+2807</f>
        <v>5980</v>
      </c>
      <c r="M10" s="15">
        <f t="shared" si="0"/>
        <v>5980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6"/>
        <v>1</v>
      </c>
      <c r="AE10" s="36">
        <f t="shared" si="7"/>
        <v>0.4456521739130434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123</v>
      </c>
      <c r="E11" s="53" t="s">
        <v>468</v>
      </c>
      <c r="F11" s="30" t="s">
        <v>128</v>
      </c>
      <c r="G11" s="33">
        <v>1</v>
      </c>
      <c r="H11" s="35">
        <v>24</v>
      </c>
      <c r="I11" s="7">
        <v>10000</v>
      </c>
      <c r="J11" s="14">
        <v>6407</v>
      </c>
      <c r="K11" s="15">
        <f>L11+3886</f>
        <v>10293</v>
      </c>
      <c r="L11" s="15">
        <f>3389+3018</f>
        <v>6407</v>
      </c>
      <c r="M11" s="15">
        <f t="shared" si="0"/>
        <v>6407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si="6"/>
        <v>1</v>
      </c>
      <c r="AE11" s="36">
        <f t="shared" si="7"/>
        <v>0.4456521739130434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138</v>
      </c>
      <c r="D12" s="52" t="s">
        <v>115</v>
      </c>
      <c r="E12" s="53" t="s">
        <v>381</v>
      </c>
      <c r="F12" s="30" t="s">
        <v>139</v>
      </c>
      <c r="G12" s="12">
        <v>2</v>
      </c>
      <c r="H12" s="13">
        <v>22</v>
      </c>
      <c r="I12" s="31">
        <v>20000</v>
      </c>
      <c r="J12" s="5">
        <v>1736</v>
      </c>
      <c r="K12" s="15">
        <f>L12+8174+10376+1736</f>
        <v>20286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/>
      <c r="X12" s="16"/>
      <c r="Y12" s="16"/>
      <c r="Z12" s="16"/>
      <c r="AA12" s="18">
        <v>24</v>
      </c>
      <c r="AB12" s="8">
        <f t="shared" si="4"/>
        <v>0</v>
      </c>
      <c r="AC12" s="9">
        <f t="shared" si="5"/>
        <v>0</v>
      </c>
      <c r="AD12" s="10">
        <f t="shared" si="6"/>
        <v>0</v>
      </c>
      <c r="AE12" s="36">
        <f t="shared" si="7"/>
        <v>0.4456521739130434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123</v>
      </c>
      <c r="E13" s="53" t="s">
        <v>179</v>
      </c>
      <c r="F13" s="30" t="s">
        <v>128</v>
      </c>
      <c r="G13" s="33">
        <v>2</v>
      </c>
      <c r="H13" s="35">
        <v>35</v>
      </c>
      <c r="I13" s="7">
        <v>190000</v>
      </c>
      <c r="J13" s="14">
        <v>12174</v>
      </c>
      <c r="K13" s="15">
        <f>L13+6644+12322+12086+12660+12576+12284+12314+12182+11830+12272+12308+9086+11062</f>
        <v>161800</v>
      </c>
      <c r="L13" s="15">
        <f>3224*2+2863*2</f>
        <v>12174</v>
      </c>
      <c r="M13" s="15">
        <f t="shared" si="0"/>
        <v>12174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6"/>
        <v>1</v>
      </c>
      <c r="AE13" s="36">
        <f t="shared" si="7"/>
        <v>0.4456521739130434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232</v>
      </c>
      <c r="D14" s="52" t="s">
        <v>477</v>
      </c>
      <c r="E14" s="53" t="s">
        <v>469</v>
      </c>
      <c r="F14" s="30" t="s">
        <v>171</v>
      </c>
      <c r="G14" s="33">
        <v>1</v>
      </c>
      <c r="H14" s="35">
        <v>50</v>
      </c>
      <c r="I14" s="7">
        <v>700</v>
      </c>
      <c r="J14" s="5">
        <v>750</v>
      </c>
      <c r="K14" s="15">
        <f>L14+750</f>
        <v>750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0.4456521739130434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12000</v>
      </c>
      <c r="J15" s="14">
        <v>12356</v>
      </c>
      <c r="K15" s="15">
        <f>L15+12356</f>
        <v>12356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0.4456521739130434</v>
      </c>
      <c r="AF15" s="84">
        <f t="shared" si="8"/>
        <v>10</v>
      </c>
    </row>
    <row r="16" spans="1:32" ht="27" customHeight="1">
      <c r="A16" s="112">
        <v>11</v>
      </c>
      <c r="B16" s="11" t="s">
        <v>57</v>
      </c>
      <c r="C16" s="34" t="s">
        <v>112</v>
      </c>
      <c r="D16" s="52" t="s">
        <v>137</v>
      </c>
      <c r="E16" s="53" t="s">
        <v>433</v>
      </c>
      <c r="F16" s="30" t="s">
        <v>140</v>
      </c>
      <c r="G16" s="12">
        <v>1</v>
      </c>
      <c r="H16" s="13">
        <v>24</v>
      </c>
      <c r="I16" s="7">
        <v>22000</v>
      </c>
      <c r="J16" s="14">
        <v>5445</v>
      </c>
      <c r="K16" s="15">
        <f>L16+4843+5487</f>
        <v>15775</v>
      </c>
      <c r="L16" s="15">
        <f>2886+2559</f>
        <v>5445</v>
      </c>
      <c r="M16" s="15">
        <f t="shared" si="0"/>
        <v>5445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6"/>
        <v>1</v>
      </c>
      <c r="AE16" s="36">
        <f t="shared" si="7"/>
        <v>0.4456521739130434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138</v>
      </c>
      <c r="D17" s="52" t="s">
        <v>462</v>
      </c>
      <c r="E17" s="53" t="s">
        <v>463</v>
      </c>
      <c r="F17" s="30" t="s">
        <v>461</v>
      </c>
      <c r="G17" s="12">
        <v>1</v>
      </c>
      <c r="H17" s="13">
        <v>24</v>
      </c>
      <c r="I17" s="7">
        <v>8000</v>
      </c>
      <c r="J17" s="14">
        <v>700</v>
      </c>
      <c r="K17" s="15">
        <f>L17+3204+5974</f>
        <v>9878</v>
      </c>
      <c r="L17" s="15">
        <v>700</v>
      </c>
      <c r="M17" s="15">
        <f t="shared" si="0"/>
        <v>700</v>
      </c>
      <c r="N17" s="15">
        <v>0</v>
      </c>
      <c r="O17" s="58">
        <f t="shared" si="1"/>
        <v>0</v>
      </c>
      <c r="P17" s="39">
        <f t="shared" si="2"/>
        <v>3</v>
      </c>
      <c r="Q17" s="40">
        <f t="shared" si="3"/>
        <v>21</v>
      </c>
      <c r="R17" s="7"/>
      <c r="S17" s="6"/>
      <c r="T17" s="16"/>
      <c r="U17" s="16"/>
      <c r="V17" s="17"/>
      <c r="W17" s="5">
        <v>21</v>
      </c>
      <c r="X17" s="16"/>
      <c r="Y17" s="16"/>
      <c r="Z17" s="16"/>
      <c r="AA17" s="18"/>
      <c r="AB17" s="8">
        <f t="shared" si="4"/>
        <v>1</v>
      </c>
      <c r="AC17" s="9">
        <f t="shared" si="5"/>
        <v>0.125</v>
      </c>
      <c r="AD17" s="10">
        <f t="shared" si="6"/>
        <v>0.125</v>
      </c>
      <c r="AE17" s="36">
        <f t="shared" si="7"/>
        <v>0.4456521739130434</v>
      </c>
      <c r="AF17" s="84">
        <f t="shared" si="8"/>
        <v>12</v>
      </c>
    </row>
    <row r="18" spans="1:32" ht="27" customHeight="1">
      <c r="A18" s="95">
        <v>12</v>
      </c>
      <c r="B18" s="11" t="s">
        <v>57</v>
      </c>
      <c r="C18" s="34" t="s">
        <v>138</v>
      </c>
      <c r="D18" s="52" t="s">
        <v>462</v>
      </c>
      <c r="E18" s="53" t="s">
        <v>483</v>
      </c>
      <c r="F18" s="30" t="s">
        <v>461</v>
      </c>
      <c r="G18" s="12">
        <v>1</v>
      </c>
      <c r="H18" s="13">
        <v>24</v>
      </c>
      <c r="I18" s="7">
        <v>8000</v>
      </c>
      <c r="J18" s="14">
        <v>3862</v>
      </c>
      <c r="K18" s="15">
        <f>L18</f>
        <v>3862</v>
      </c>
      <c r="L18" s="15">
        <f>856+3006</f>
        <v>3862</v>
      </c>
      <c r="M18" s="15">
        <f t="shared" ref="M18" si="9">L18-N18</f>
        <v>3862</v>
      </c>
      <c r="N18" s="15">
        <v>0</v>
      </c>
      <c r="O18" s="58">
        <f t="shared" ref="O18" si="10">IF(L18=0,"0",N18/L18)</f>
        <v>0</v>
      </c>
      <c r="P18" s="39">
        <f t="shared" ref="P18" si="11">IF(L18=0,"0",(24-Q18))</f>
        <v>18</v>
      </c>
      <c r="Q18" s="40">
        <f t="shared" ref="Q18" si="12">SUM(R18:AA18)</f>
        <v>6</v>
      </c>
      <c r="R18" s="7"/>
      <c r="S18" s="6"/>
      <c r="T18" s="16">
        <v>6</v>
      </c>
      <c r="U18" s="16"/>
      <c r="V18" s="17"/>
      <c r="W18" s="5"/>
      <c r="X18" s="16"/>
      <c r="Y18" s="16"/>
      <c r="Z18" s="16"/>
      <c r="AA18" s="18"/>
      <c r="AB18" s="8">
        <f t="shared" ref="AB18" si="13">IF(J18=0,"0",(L18/J18))</f>
        <v>1</v>
      </c>
      <c r="AC18" s="9">
        <f t="shared" ref="AC18" si="14">IF(P18=0,"0",(P18/24))</f>
        <v>0.75</v>
      </c>
      <c r="AD18" s="10">
        <f t="shared" ref="AD18" si="15">AC18*AB18*(1-O18)</f>
        <v>0.75</v>
      </c>
      <c r="AE18" s="36">
        <f t="shared" si="7"/>
        <v>0.4456521739130434</v>
      </c>
      <c r="AF18" s="84">
        <f t="shared" ref="AF18" si="16">A18</f>
        <v>12</v>
      </c>
    </row>
    <row r="19" spans="1:32" ht="27" customHeight="1">
      <c r="A19" s="96">
        <v>13</v>
      </c>
      <c r="B19" s="11" t="s">
        <v>57</v>
      </c>
      <c r="C19" s="11" t="s">
        <v>112</v>
      </c>
      <c r="D19" s="52" t="s">
        <v>137</v>
      </c>
      <c r="E19" s="53" t="s">
        <v>191</v>
      </c>
      <c r="F19" s="30" t="s">
        <v>130</v>
      </c>
      <c r="G19" s="33">
        <v>1</v>
      </c>
      <c r="H19" s="35">
        <v>24</v>
      </c>
      <c r="I19" s="7">
        <v>180000</v>
      </c>
      <c r="J19" s="14">
        <v>4434</v>
      </c>
      <c r="K19" s="15">
        <f>L19+9952+11100+11616+11336+11468+11654+10384+11002+11590+11484+11300+9654+6186+11446+8364+11404+11256</f>
        <v>185630</v>
      </c>
      <c r="L19" s="15">
        <f>800*2+1310+762*2</f>
        <v>4434</v>
      </c>
      <c r="M19" s="15">
        <f t="shared" si="0"/>
        <v>4434</v>
      </c>
      <c r="N19" s="15">
        <v>0</v>
      </c>
      <c r="O19" s="58">
        <f t="shared" si="1"/>
        <v>0</v>
      </c>
      <c r="P19" s="39">
        <f t="shared" si="2"/>
        <v>16</v>
      </c>
      <c r="Q19" s="40">
        <f t="shared" si="3"/>
        <v>8</v>
      </c>
      <c r="R19" s="7"/>
      <c r="S19" s="6">
        <v>8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0.66666666666666663</v>
      </c>
      <c r="AD19" s="10">
        <f t="shared" si="6"/>
        <v>0.66666666666666663</v>
      </c>
      <c r="AE19" s="36">
        <f t="shared" si="7"/>
        <v>0.4456521739130434</v>
      </c>
      <c r="AF19" s="84">
        <f t="shared" si="8"/>
        <v>13</v>
      </c>
    </row>
    <row r="20" spans="1:32" ht="27" customHeight="1">
      <c r="A20" s="96">
        <v>14</v>
      </c>
      <c r="B20" s="11" t="s">
        <v>57</v>
      </c>
      <c r="C20" s="11" t="s">
        <v>112</v>
      </c>
      <c r="D20" s="52" t="s">
        <v>123</v>
      </c>
      <c r="E20" s="53" t="s">
        <v>478</v>
      </c>
      <c r="F20" s="30" t="s">
        <v>128</v>
      </c>
      <c r="G20" s="33">
        <v>1</v>
      </c>
      <c r="H20" s="35">
        <v>24</v>
      </c>
      <c r="I20" s="7">
        <v>7000</v>
      </c>
      <c r="J20" s="14">
        <v>5077</v>
      </c>
      <c r="K20" s="15">
        <f>L20+3623</f>
        <v>8700</v>
      </c>
      <c r="L20" s="15">
        <f>2541+2536</f>
        <v>5077</v>
      </c>
      <c r="M20" s="15">
        <f t="shared" si="0"/>
        <v>5077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0.4456521739130434</v>
      </c>
      <c r="AF20" s="84">
        <f t="shared" si="8"/>
        <v>14</v>
      </c>
    </row>
    <row r="21" spans="1:32" ht="27" customHeight="1">
      <c r="A21" s="112">
        <v>15</v>
      </c>
      <c r="B21" s="11" t="s">
        <v>57</v>
      </c>
      <c r="C21" s="34" t="s">
        <v>112</v>
      </c>
      <c r="D21" s="52" t="s">
        <v>115</v>
      </c>
      <c r="E21" s="53" t="s">
        <v>178</v>
      </c>
      <c r="F21" s="30" t="s">
        <v>206</v>
      </c>
      <c r="G21" s="12">
        <v>1</v>
      </c>
      <c r="H21" s="13">
        <v>24</v>
      </c>
      <c r="I21" s="7">
        <v>230000</v>
      </c>
      <c r="J21" s="14">
        <v>4342</v>
      </c>
      <c r="K21" s="15">
        <f>L21+7008+11154+9077+8768+10676+10588+2521+7242+10236+10216+10614+10620+10632+10760+10206+10892+10136+10692+10896+9992+10630+10894+7459+6981+3140</f>
        <v>236372</v>
      </c>
      <c r="L21" s="15">
        <f>1956+2386</f>
        <v>4342</v>
      </c>
      <c r="M21" s="15">
        <f t="shared" si="0"/>
        <v>4342</v>
      </c>
      <c r="N21" s="15">
        <v>0</v>
      </c>
      <c r="O21" s="58">
        <f t="shared" si="1"/>
        <v>0</v>
      </c>
      <c r="P21" s="39">
        <f t="shared" si="2"/>
        <v>22</v>
      </c>
      <c r="Q21" s="40">
        <f t="shared" si="3"/>
        <v>2</v>
      </c>
      <c r="R21" s="7"/>
      <c r="S21" s="6">
        <v>2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0.91666666666666663</v>
      </c>
      <c r="AD21" s="10">
        <f t="shared" si="6"/>
        <v>0.91666666666666663</v>
      </c>
      <c r="AE21" s="36">
        <f t="shared" si="7"/>
        <v>0.4456521739130434</v>
      </c>
      <c r="AF21" s="84">
        <f t="shared" si="8"/>
        <v>15</v>
      </c>
    </row>
    <row r="22" spans="1:32" ht="26.25" customHeight="1">
      <c r="A22" s="96">
        <v>16</v>
      </c>
      <c r="B22" s="11" t="s">
        <v>57</v>
      </c>
      <c r="C22" s="11" t="s">
        <v>113</v>
      </c>
      <c r="D22" s="52"/>
      <c r="E22" s="53" t="s">
        <v>299</v>
      </c>
      <c r="F22" s="12" t="s">
        <v>114</v>
      </c>
      <c r="G22" s="12">
        <v>3</v>
      </c>
      <c r="H22" s="35">
        <v>20</v>
      </c>
      <c r="I22" s="7">
        <v>1000000</v>
      </c>
      <c r="J22" s="14">
        <v>4328</v>
      </c>
      <c r="K22" s="15">
        <f>L22+56500+55900+61924+62232+61132+62396</f>
        <v>364412</v>
      </c>
      <c r="L22" s="15">
        <f>1082*4</f>
        <v>4328</v>
      </c>
      <c r="M22" s="15">
        <f t="shared" si="0"/>
        <v>4328</v>
      </c>
      <c r="N22" s="15">
        <v>0</v>
      </c>
      <c r="O22" s="58">
        <f t="shared" si="1"/>
        <v>0</v>
      </c>
      <c r="P22" s="39">
        <f t="shared" si="2"/>
        <v>4</v>
      </c>
      <c r="Q22" s="40">
        <f t="shared" si="3"/>
        <v>20</v>
      </c>
      <c r="R22" s="7"/>
      <c r="S22" s="6"/>
      <c r="T22" s="16"/>
      <c r="U22" s="16"/>
      <c r="V22" s="17">
        <v>20</v>
      </c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0.16666666666666666</v>
      </c>
      <c r="AD22" s="10">
        <f t="shared" si="6"/>
        <v>0.16666666666666666</v>
      </c>
      <c r="AE22" s="36">
        <f t="shared" si="7"/>
        <v>0.4456521739130434</v>
      </c>
      <c r="AF22" s="84">
        <f t="shared" si="8"/>
        <v>16</v>
      </c>
    </row>
    <row r="23" spans="1:32" ht="18.75">
      <c r="A23" s="96">
        <v>31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0.4456521739130434</v>
      </c>
      <c r="AF23" s="84">
        <f t="shared" si="8"/>
        <v>31</v>
      </c>
    </row>
    <row r="24" spans="1:32" ht="18.75">
      <c r="A24" s="96">
        <v>32</v>
      </c>
      <c r="B24" s="11" t="s">
        <v>57</v>
      </c>
      <c r="C24" s="11"/>
      <c r="D24" s="52"/>
      <c r="E24" s="53"/>
      <c r="F24" s="12"/>
      <c r="G24" s="12"/>
      <c r="H24" s="35">
        <v>20</v>
      </c>
      <c r="I24" s="7"/>
      <c r="J24" s="14">
        <v>0</v>
      </c>
      <c r="K24" s="15">
        <f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>
        <v>24</v>
      </c>
      <c r="W24" s="5"/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0.4456521739130434</v>
      </c>
      <c r="AF24" s="84">
        <f t="shared" si="8"/>
        <v>32</v>
      </c>
    </row>
    <row r="25" spans="1:32" ht="18.75">
      <c r="A25" s="96">
        <v>33</v>
      </c>
      <c r="B25" s="11" t="s">
        <v>57</v>
      </c>
      <c r="C25" s="11" t="s">
        <v>116</v>
      </c>
      <c r="D25" s="52" t="s">
        <v>142</v>
      </c>
      <c r="E25" s="53" t="s">
        <v>146</v>
      </c>
      <c r="F25" s="12" t="s">
        <v>140</v>
      </c>
      <c r="G25" s="12">
        <v>1</v>
      </c>
      <c r="H25" s="35">
        <v>20</v>
      </c>
      <c r="I25" s="7">
        <v>140000</v>
      </c>
      <c r="J25" s="14">
        <v>3244</v>
      </c>
      <c r="K25" s="15">
        <f>L25+4387+7770+5806+7905+7479+7369+7360+2397+6904+7208+7013+6976+6992+2652+6495+7026+7051+7084+4297+6519+7042+3244</f>
        <v>136976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0.4456521739130434</v>
      </c>
      <c r="AF25" s="84">
        <f t="shared" si="8"/>
        <v>33</v>
      </c>
    </row>
    <row r="26" spans="1:32" ht="28.5">
      <c r="A26" s="96">
        <v>34</v>
      </c>
      <c r="B26" s="11" t="s">
        <v>57</v>
      </c>
      <c r="C26" s="11" t="s">
        <v>116</v>
      </c>
      <c r="D26" s="52" t="s">
        <v>142</v>
      </c>
      <c r="E26" s="53" t="s">
        <v>147</v>
      </c>
      <c r="F26" s="12" t="s">
        <v>131</v>
      </c>
      <c r="G26" s="12">
        <v>4</v>
      </c>
      <c r="H26" s="35">
        <v>20</v>
      </c>
      <c r="I26" s="7">
        <v>240000</v>
      </c>
      <c r="J26" s="14">
        <v>9988</v>
      </c>
      <c r="K26" s="15">
        <f>L26+24768+29084+29040+29804+27780+4064+26996+28972+25428+29132+9988</f>
        <v>265056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0.4456521739130434</v>
      </c>
      <c r="AF26" s="84">
        <f t="shared" si="8"/>
        <v>34</v>
      </c>
    </row>
    <row r="27" spans="1:32" ht="28.5">
      <c r="A27" s="96">
        <v>35</v>
      </c>
      <c r="B27" s="11" t="s">
        <v>57</v>
      </c>
      <c r="C27" s="11" t="s">
        <v>116</v>
      </c>
      <c r="D27" s="52" t="s">
        <v>122</v>
      </c>
      <c r="E27" s="53" t="s">
        <v>133</v>
      </c>
      <c r="F27" s="12" t="s">
        <v>131</v>
      </c>
      <c r="G27" s="12">
        <v>4</v>
      </c>
      <c r="H27" s="35">
        <v>20</v>
      </c>
      <c r="I27" s="7">
        <v>240000</v>
      </c>
      <c r="J27" s="14">
        <v>11600</v>
      </c>
      <c r="K27" s="15">
        <f>L27+25004+29968+31848+29672+31736+27000+29200+29420+29140+11600</f>
        <v>274588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0.4456521739130434</v>
      </c>
      <c r="AF27" s="84">
        <f t="shared" si="8"/>
        <v>35</v>
      </c>
    </row>
    <row r="28" spans="1:32" ht="19.5" thickBot="1">
      <c r="A28" s="96">
        <v>36</v>
      </c>
      <c r="B28" s="11" t="s">
        <v>57</v>
      </c>
      <c r="C28" s="11" t="s">
        <v>173</v>
      </c>
      <c r="D28" s="52"/>
      <c r="E28" s="53" t="s">
        <v>174</v>
      </c>
      <c r="F28" s="12" t="s">
        <v>175</v>
      </c>
      <c r="G28" s="12">
        <v>32</v>
      </c>
      <c r="H28" s="35">
        <v>20</v>
      </c>
      <c r="I28" s="7">
        <v>1300000</v>
      </c>
      <c r="J28" s="14">
        <v>199470</v>
      </c>
      <c r="K28" s="15">
        <f>L28+356070+486150+492600+465600+199470</f>
        <v>1999890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15</v>
      </c>
      <c r="R28" s="7"/>
      <c r="S28" s="6"/>
      <c r="T28" s="16"/>
      <c r="U28" s="16"/>
      <c r="V28" s="120"/>
      <c r="W28" s="5">
        <v>15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6"/>
        <v>0</v>
      </c>
      <c r="AE28" s="36">
        <f t="shared" si="7"/>
        <v>0.4456521739130434</v>
      </c>
      <c r="AF28" s="84">
        <f t="shared" si="8"/>
        <v>36</v>
      </c>
    </row>
    <row r="29" spans="1:32" ht="19.5" thickBot="1">
      <c r="A29" s="549" t="s">
        <v>34</v>
      </c>
      <c r="B29" s="550"/>
      <c r="C29" s="550"/>
      <c r="D29" s="550"/>
      <c r="E29" s="550"/>
      <c r="F29" s="550"/>
      <c r="G29" s="550"/>
      <c r="H29" s="551"/>
      <c r="I29" s="22">
        <f t="shared" ref="I29:N29" si="17">SUM(I6:I28)</f>
        <v>4169850</v>
      </c>
      <c r="J29" s="19">
        <f t="shared" si="17"/>
        <v>316468</v>
      </c>
      <c r="K29" s="20">
        <f t="shared" si="17"/>
        <v>4005938</v>
      </c>
      <c r="L29" s="21">
        <f t="shared" si="17"/>
        <v>77174</v>
      </c>
      <c r="M29" s="20">
        <f t="shared" si="17"/>
        <v>77174</v>
      </c>
      <c r="N29" s="21">
        <f t="shared" si="17"/>
        <v>0</v>
      </c>
      <c r="O29" s="41">
        <f t="shared" si="1"/>
        <v>0</v>
      </c>
      <c r="P29" s="42">
        <f t="shared" ref="P29:AA29" si="18">SUM(P6:P28)</f>
        <v>246</v>
      </c>
      <c r="Q29" s="43">
        <f t="shared" si="18"/>
        <v>297</v>
      </c>
      <c r="R29" s="23">
        <f t="shared" si="18"/>
        <v>0</v>
      </c>
      <c r="S29" s="24">
        <f t="shared" si="18"/>
        <v>19</v>
      </c>
      <c r="T29" s="24">
        <f t="shared" si="18"/>
        <v>6</v>
      </c>
      <c r="U29" s="24">
        <f t="shared" si="18"/>
        <v>0</v>
      </c>
      <c r="V29" s="25">
        <f t="shared" si="18"/>
        <v>68</v>
      </c>
      <c r="W29" s="26">
        <f t="shared" si="18"/>
        <v>156</v>
      </c>
      <c r="X29" s="27">
        <f t="shared" si="18"/>
        <v>0</v>
      </c>
      <c r="Y29" s="27">
        <f t="shared" si="18"/>
        <v>0</v>
      </c>
      <c r="Z29" s="27">
        <f t="shared" si="18"/>
        <v>0</v>
      </c>
      <c r="AA29" s="27">
        <f t="shared" si="18"/>
        <v>48</v>
      </c>
      <c r="AB29" s="28">
        <f>AVERAGE(AB6:AB28)</f>
        <v>0.61904761904761907</v>
      </c>
      <c r="AC29" s="4">
        <f>AVERAGE(AC6:AC28)</f>
        <v>0.4456521739130434</v>
      </c>
      <c r="AD29" s="4">
        <f>AVERAGE(AD6:AD28)</f>
        <v>0.4456521739130434</v>
      </c>
      <c r="AE29" s="29"/>
    </row>
    <row r="30" spans="1:32">
      <c r="T30" s="50" t="s">
        <v>143</v>
      </c>
    </row>
    <row r="31" spans="1:32" ht="18.75">
      <c r="A31" s="2"/>
      <c r="B31" s="2" t="s">
        <v>35</v>
      </c>
      <c r="C31" s="2"/>
      <c r="D31" s="2"/>
      <c r="E31" s="2"/>
      <c r="F31" s="2"/>
      <c r="G31" s="2"/>
      <c r="H31" s="3"/>
      <c r="I31" s="3"/>
      <c r="J31" s="2"/>
      <c r="K31" s="2"/>
      <c r="L31" s="2"/>
      <c r="M31" s="2"/>
      <c r="N31" s="2" t="s">
        <v>36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1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 t="s">
        <v>144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85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27">
      <c r="A46" s="59"/>
      <c r="B46" s="59"/>
      <c r="C46" s="59"/>
      <c r="D46" s="59"/>
      <c r="E46" s="59"/>
      <c r="F46" s="37"/>
      <c r="G46" s="37"/>
      <c r="H46" s="38"/>
      <c r="I46" s="38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F46" s="50"/>
    </row>
    <row r="47" spans="1:32" ht="29.25" customHeight="1">
      <c r="A47" s="60"/>
      <c r="B47" s="60"/>
      <c r="C47" s="61"/>
      <c r="D47" s="61"/>
      <c r="E47" s="61"/>
      <c r="F47" s="60"/>
      <c r="G47" s="60"/>
      <c r="H47" s="60"/>
      <c r="I47" s="60"/>
      <c r="J47" s="60"/>
      <c r="K47" s="60"/>
      <c r="L47" s="60"/>
      <c r="M47" s="61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4.2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36" thickBot="1">
      <c r="A56" s="552" t="s">
        <v>45</v>
      </c>
      <c r="B56" s="552"/>
      <c r="C56" s="552"/>
      <c r="D56" s="552"/>
      <c r="E56" s="552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26.25" thickBot="1">
      <c r="A57" s="553" t="s">
        <v>492</v>
      </c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5"/>
      <c r="N57" s="556" t="s">
        <v>495</v>
      </c>
      <c r="O57" s="557"/>
      <c r="P57" s="557"/>
      <c r="Q57" s="557"/>
      <c r="R57" s="557"/>
      <c r="S57" s="557"/>
      <c r="T57" s="557"/>
      <c r="U57" s="557"/>
      <c r="V57" s="557"/>
      <c r="W57" s="557"/>
      <c r="X57" s="557"/>
      <c r="Y57" s="557"/>
      <c r="Z57" s="557"/>
      <c r="AA57" s="557"/>
      <c r="AB57" s="557"/>
      <c r="AC57" s="557"/>
      <c r="AD57" s="558"/>
    </row>
    <row r="58" spans="1:32" ht="27" customHeight="1">
      <c r="A58" s="559" t="s">
        <v>2</v>
      </c>
      <c r="B58" s="560"/>
      <c r="C58" s="366" t="s">
        <v>46</v>
      </c>
      <c r="D58" s="366" t="s">
        <v>47</v>
      </c>
      <c r="E58" s="366" t="s">
        <v>107</v>
      </c>
      <c r="F58" s="561" t="s">
        <v>106</v>
      </c>
      <c r="G58" s="562"/>
      <c r="H58" s="562"/>
      <c r="I58" s="562"/>
      <c r="J58" s="562"/>
      <c r="K58" s="562"/>
      <c r="L58" s="562"/>
      <c r="M58" s="563"/>
      <c r="N58" s="67" t="s">
        <v>110</v>
      </c>
      <c r="O58" s="366" t="s">
        <v>46</v>
      </c>
      <c r="P58" s="561" t="s">
        <v>47</v>
      </c>
      <c r="Q58" s="564"/>
      <c r="R58" s="561" t="s">
        <v>38</v>
      </c>
      <c r="S58" s="562"/>
      <c r="T58" s="562"/>
      <c r="U58" s="564"/>
      <c r="V58" s="561" t="s">
        <v>48</v>
      </c>
      <c r="W58" s="562"/>
      <c r="X58" s="562"/>
      <c r="Y58" s="562"/>
      <c r="Z58" s="562"/>
      <c r="AA58" s="562"/>
      <c r="AB58" s="562"/>
      <c r="AC58" s="562"/>
      <c r="AD58" s="563"/>
    </row>
    <row r="59" spans="1:32" ht="27" customHeight="1">
      <c r="A59" s="543" t="s">
        <v>138</v>
      </c>
      <c r="B59" s="533"/>
      <c r="C59" s="362" t="s">
        <v>217</v>
      </c>
      <c r="D59" s="362" t="s">
        <v>142</v>
      </c>
      <c r="E59" s="362" t="s">
        <v>241</v>
      </c>
      <c r="F59" s="530" t="s">
        <v>270</v>
      </c>
      <c r="G59" s="531"/>
      <c r="H59" s="531"/>
      <c r="I59" s="531"/>
      <c r="J59" s="531"/>
      <c r="K59" s="531"/>
      <c r="L59" s="531"/>
      <c r="M59" s="532"/>
      <c r="N59" s="365" t="s">
        <v>112</v>
      </c>
      <c r="O59" s="359" t="s">
        <v>167</v>
      </c>
      <c r="P59" s="544" t="s">
        <v>137</v>
      </c>
      <c r="Q59" s="545"/>
      <c r="R59" s="544" t="s">
        <v>191</v>
      </c>
      <c r="S59" s="546"/>
      <c r="T59" s="546"/>
      <c r="U59" s="545"/>
      <c r="V59" s="517" t="s">
        <v>120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112</v>
      </c>
      <c r="B60" s="533"/>
      <c r="C60" s="362" t="s">
        <v>346</v>
      </c>
      <c r="D60" s="362" t="s">
        <v>115</v>
      </c>
      <c r="E60" s="362" t="s">
        <v>178</v>
      </c>
      <c r="F60" s="530" t="s">
        <v>493</v>
      </c>
      <c r="G60" s="531"/>
      <c r="H60" s="531"/>
      <c r="I60" s="531"/>
      <c r="J60" s="531"/>
      <c r="K60" s="531"/>
      <c r="L60" s="531"/>
      <c r="M60" s="532"/>
      <c r="N60" s="365" t="s">
        <v>112</v>
      </c>
      <c r="O60" s="359" t="s">
        <v>346</v>
      </c>
      <c r="P60" s="544" t="s">
        <v>115</v>
      </c>
      <c r="Q60" s="545"/>
      <c r="R60" s="544" t="s">
        <v>178</v>
      </c>
      <c r="S60" s="546"/>
      <c r="T60" s="546"/>
      <c r="U60" s="545"/>
      <c r="V60" s="517" t="s">
        <v>120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112</v>
      </c>
      <c r="B61" s="533"/>
      <c r="C61" s="362" t="s">
        <v>167</v>
      </c>
      <c r="D61" s="362" t="s">
        <v>137</v>
      </c>
      <c r="E61" s="362" t="s">
        <v>191</v>
      </c>
      <c r="F61" s="530" t="s">
        <v>494</v>
      </c>
      <c r="G61" s="531"/>
      <c r="H61" s="531"/>
      <c r="I61" s="531"/>
      <c r="J61" s="531"/>
      <c r="K61" s="531"/>
      <c r="L61" s="531"/>
      <c r="M61" s="532"/>
      <c r="N61" s="365" t="s">
        <v>112</v>
      </c>
      <c r="O61" s="359" t="s">
        <v>161</v>
      </c>
      <c r="P61" s="544" t="s">
        <v>135</v>
      </c>
      <c r="Q61" s="545"/>
      <c r="R61" s="544" t="s">
        <v>496</v>
      </c>
      <c r="S61" s="546"/>
      <c r="T61" s="546"/>
      <c r="U61" s="545"/>
      <c r="V61" s="517" t="s">
        <v>124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 t="s">
        <v>138</v>
      </c>
      <c r="B62" s="533"/>
      <c r="C62" s="362" t="s">
        <v>200</v>
      </c>
      <c r="D62" s="362" t="s">
        <v>135</v>
      </c>
      <c r="E62" s="362" t="s">
        <v>305</v>
      </c>
      <c r="F62" s="530" t="s">
        <v>302</v>
      </c>
      <c r="G62" s="531"/>
      <c r="H62" s="531"/>
      <c r="I62" s="531"/>
      <c r="J62" s="531"/>
      <c r="K62" s="531"/>
      <c r="L62" s="531"/>
      <c r="M62" s="532"/>
      <c r="N62" s="365"/>
      <c r="O62" s="359"/>
      <c r="P62" s="544"/>
      <c r="Q62" s="545"/>
      <c r="R62" s="544"/>
      <c r="S62" s="546"/>
      <c r="T62" s="546"/>
      <c r="U62" s="545"/>
      <c r="V62" s="517"/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 t="s">
        <v>138</v>
      </c>
      <c r="B63" s="533"/>
      <c r="C63" s="362" t="s">
        <v>164</v>
      </c>
      <c r="D63" s="362" t="s">
        <v>462</v>
      </c>
      <c r="E63" s="362" t="s">
        <v>483</v>
      </c>
      <c r="F63" s="530" t="s">
        <v>124</v>
      </c>
      <c r="G63" s="531"/>
      <c r="H63" s="531"/>
      <c r="I63" s="531"/>
      <c r="J63" s="531"/>
      <c r="K63" s="531"/>
      <c r="L63" s="531"/>
      <c r="M63" s="532"/>
      <c r="N63" s="365"/>
      <c r="O63" s="359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362"/>
      <c r="D64" s="362"/>
      <c r="E64" s="362"/>
      <c r="F64" s="530"/>
      <c r="G64" s="531"/>
      <c r="H64" s="531"/>
      <c r="I64" s="531"/>
      <c r="J64" s="531"/>
      <c r="K64" s="531"/>
      <c r="L64" s="531"/>
      <c r="M64" s="532"/>
      <c r="N64" s="365"/>
      <c r="O64" s="359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43"/>
      <c r="B65" s="533"/>
      <c r="C65" s="362"/>
      <c r="D65" s="362"/>
      <c r="E65" s="362"/>
      <c r="F65" s="530"/>
      <c r="G65" s="531"/>
      <c r="H65" s="531"/>
      <c r="I65" s="531"/>
      <c r="J65" s="531"/>
      <c r="K65" s="531"/>
      <c r="L65" s="531"/>
      <c r="M65" s="532"/>
      <c r="N65" s="365"/>
      <c r="O65" s="359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361"/>
      <c r="D66" s="361"/>
      <c r="E66" s="362"/>
      <c r="F66" s="530"/>
      <c r="G66" s="531"/>
      <c r="H66" s="531"/>
      <c r="I66" s="531"/>
      <c r="J66" s="531"/>
      <c r="K66" s="531"/>
      <c r="L66" s="531"/>
      <c r="M66" s="532"/>
      <c r="N66" s="365"/>
      <c r="O66" s="359"/>
      <c r="P66" s="544"/>
      <c r="Q66" s="545"/>
      <c r="R66" s="544"/>
      <c r="S66" s="546"/>
      <c r="T66" s="546"/>
      <c r="U66" s="545"/>
      <c r="V66" s="517"/>
      <c r="W66" s="517"/>
      <c r="X66" s="517"/>
      <c r="Y66" s="517"/>
      <c r="Z66" s="517"/>
      <c r="AA66" s="517"/>
      <c r="AB66" s="517"/>
      <c r="AC66" s="517"/>
      <c r="AD66" s="534"/>
    </row>
    <row r="67" spans="1:32" ht="27" customHeight="1">
      <c r="A67" s="528"/>
      <c r="B67" s="529"/>
      <c r="C67" s="361"/>
      <c r="D67" s="361"/>
      <c r="E67" s="362"/>
      <c r="F67" s="530"/>
      <c r="G67" s="531"/>
      <c r="H67" s="531"/>
      <c r="I67" s="531"/>
      <c r="J67" s="531"/>
      <c r="K67" s="531"/>
      <c r="L67" s="531"/>
      <c r="M67" s="532"/>
      <c r="N67" s="365"/>
      <c r="O67" s="359"/>
      <c r="P67" s="533"/>
      <c r="Q67" s="533"/>
      <c r="R67" s="533"/>
      <c r="S67" s="533"/>
      <c r="T67" s="533"/>
      <c r="U67" s="533"/>
      <c r="V67" s="517"/>
      <c r="W67" s="517"/>
      <c r="X67" s="517"/>
      <c r="Y67" s="517"/>
      <c r="Z67" s="517"/>
      <c r="AA67" s="517"/>
      <c r="AB67" s="517"/>
      <c r="AC67" s="517"/>
      <c r="AD67" s="534"/>
      <c r="AF67" s="84">
        <f>8*3000</f>
        <v>24000</v>
      </c>
    </row>
    <row r="68" spans="1:32" ht="27" customHeight="1" thickBot="1">
      <c r="A68" s="535"/>
      <c r="B68" s="536"/>
      <c r="C68" s="363"/>
      <c r="D68" s="364"/>
      <c r="E68" s="363"/>
      <c r="F68" s="537"/>
      <c r="G68" s="538"/>
      <c r="H68" s="538"/>
      <c r="I68" s="538"/>
      <c r="J68" s="538"/>
      <c r="K68" s="538"/>
      <c r="L68" s="538"/>
      <c r="M68" s="539"/>
      <c r="N68" s="111"/>
      <c r="O68" s="103"/>
      <c r="P68" s="540"/>
      <c r="Q68" s="540"/>
      <c r="R68" s="540"/>
      <c r="S68" s="540"/>
      <c r="T68" s="540"/>
      <c r="U68" s="540"/>
      <c r="V68" s="541"/>
      <c r="W68" s="541"/>
      <c r="X68" s="541"/>
      <c r="Y68" s="541"/>
      <c r="Z68" s="541"/>
      <c r="AA68" s="541"/>
      <c r="AB68" s="541"/>
      <c r="AC68" s="541"/>
      <c r="AD68" s="542"/>
      <c r="AF68" s="84">
        <f>16*3000</f>
        <v>48000</v>
      </c>
    </row>
    <row r="69" spans="1:32" ht="27.75" thickBot="1">
      <c r="A69" s="526" t="s">
        <v>497</v>
      </c>
      <c r="B69" s="526"/>
      <c r="C69" s="526"/>
      <c r="D69" s="526"/>
      <c r="E69" s="526"/>
      <c r="F69" s="37"/>
      <c r="G69" s="37"/>
      <c r="H69" s="38"/>
      <c r="I69" s="38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F69" s="84">
        <v>24000</v>
      </c>
    </row>
    <row r="70" spans="1:32" ht="29.25" customHeight="1" thickBot="1">
      <c r="A70" s="527" t="s">
        <v>111</v>
      </c>
      <c r="B70" s="524"/>
      <c r="C70" s="360" t="s">
        <v>2</v>
      </c>
      <c r="D70" s="360" t="s">
        <v>37</v>
      </c>
      <c r="E70" s="360" t="s">
        <v>3</v>
      </c>
      <c r="F70" s="524" t="s">
        <v>109</v>
      </c>
      <c r="G70" s="524"/>
      <c r="H70" s="524"/>
      <c r="I70" s="524"/>
      <c r="J70" s="524"/>
      <c r="K70" s="524" t="s">
        <v>39</v>
      </c>
      <c r="L70" s="524"/>
      <c r="M70" s="360" t="s">
        <v>40</v>
      </c>
      <c r="N70" s="524" t="s">
        <v>41</v>
      </c>
      <c r="O70" s="524"/>
      <c r="P70" s="521" t="s">
        <v>42</v>
      </c>
      <c r="Q70" s="523"/>
      <c r="R70" s="521" t="s">
        <v>43</v>
      </c>
      <c r="S70" s="522"/>
      <c r="T70" s="522"/>
      <c r="U70" s="522"/>
      <c r="V70" s="522"/>
      <c r="W70" s="522"/>
      <c r="X70" s="522"/>
      <c r="Y70" s="522"/>
      <c r="Z70" s="522"/>
      <c r="AA70" s="523"/>
      <c r="AB70" s="524" t="s">
        <v>44</v>
      </c>
      <c r="AC70" s="524"/>
      <c r="AD70" s="525"/>
      <c r="AF70" s="84">
        <f>SUM(AF67:AF69)</f>
        <v>96000</v>
      </c>
    </row>
    <row r="71" spans="1:32" ht="25.5" customHeight="1">
      <c r="A71" s="512">
        <v>1</v>
      </c>
      <c r="B71" s="513"/>
      <c r="C71" s="104" t="s">
        <v>116</v>
      </c>
      <c r="D71" s="355"/>
      <c r="E71" s="358" t="s">
        <v>127</v>
      </c>
      <c r="F71" s="518" t="s">
        <v>498</v>
      </c>
      <c r="G71" s="519"/>
      <c r="H71" s="519"/>
      <c r="I71" s="519"/>
      <c r="J71" s="520"/>
      <c r="K71" s="504" t="s">
        <v>499</v>
      </c>
      <c r="L71" s="504"/>
      <c r="M71" s="51" t="s">
        <v>421</v>
      </c>
      <c r="N71" s="515" t="s">
        <v>307</v>
      </c>
      <c r="O71" s="515"/>
      <c r="P71" s="516">
        <v>50</v>
      </c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2</v>
      </c>
      <c r="B72" s="513"/>
      <c r="C72" s="104"/>
      <c r="D72" s="355"/>
      <c r="E72" s="358"/>
      <c r="F72" s="518"/>
      <c r="G72" s="519"/>
      <c r="H72" s="519"/>
      <c r="I72" s="519"/>
      <c r="J72" s="520"/>
      <c r="K72" s="504"/>
      <c r="L72" s="504"/>
      <c r="M72" s="51"/>
      <c r="N72" s="515"/>
      <c r="O72" s="515"/>
      <c r="P72" s="516"/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3</v>
      </c>
      <c r="B73" s="513"/>
      <c r="C73" s="104"/>
      <c r="D73" s="355"/>
      <c r="E73" s="358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4</v>
      </c>
      <c r="B74" s="513"/>
      <c r="C74" s="104"/>
      <c r="D74" s="355"/>
      <c r="E74" s="358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5</v>
      </c>
      <c r="B75" s="513"/>
      <c r="C75" s="104"/>
      <c r="D75" s="355"/>
      <c r="E75" s="358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6</v>
      </c>
      <c r="B76" s="513"/>
      <c r="C76" s="104"/>
      <c r="D76" s="355"/>
      <c r="E76" s="358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7</v>
      </c>
      <c r="B77" s="513"/>
      <c r="C77" s="104"/>
      <c r="D77" s="355"/>
      <c r="E77" s="358"/>
      <c r="F77" s="518"/>
      <c r="G77" s="519"/>
      <c r="H77" s="519"/>
      <c r="I77" s="519"/>
      <c r="J77" s="520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8</v>
      </c>
      <c r="B78" s="513"/>
      <c r="C78" s="104"/>
      <c r="D78" s="355"/>
      <c r="E78" s="358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9</v>
      </c>
      <c r="B79" s="513"/>
      <c r="C79" s="104"/>
      <c r="D79" s="355"/>
      <c r="E79" s="358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5.5" customHeight="1">
      <c r="A80" s="512">
        <v>10</v>
      </c>
      <c r="B80" s="513"/>
      <c r="C80" s="104"/>
      <c r="D80" s="355"/>
      <c r="E80" s="358"/>
      <c r="F80" s="514"/>
      <c r="G80" s="504"/>
      <c r="H80" s="504"/>
      <c r="I80" s="504"/>
      <c r="J80" s="504"/>
      <c r="K80" s="504"/>
      <c r="L80" s="504"/>
      <c r="M80" s="51"/>
      <c r="N80" s="515"/>
      <c r="O80" s="515"/>
      <c r="P80" s="516"/>
      <c r="Q80" s="516"/>
      <c r="R80" s="517"/>
      <c r="S80" s="517"/>
      <c r="T80" s="517"/>
      <c r="U80" s="517"/>
      <c r="V80" s="517"/>
      <c r="W80" s="517"/>
      <c r="X80" s="517"/>
      <c r="Y80" s="517"/>
      <c r="Z80" s="517"/>
      <c r="AA80" s="517"/>
      <c r="AB80" s="504"/>
      <c r="AC80" s="504"/>
      <c r="AD80" s="505"/>
      <c r="AF80" s="50"/>
    </row>
    <row r="81" spans="1:32" ht="26.25" customHeight="1" thickBot="1">
      <c r="A81" s="484" t="s">
        <v>500</v>
      </c>
      <c r="B81" s="484"/>
      <c r="C81" s="484"/>
      <c r="D81" s="484"/>
      <c r="E81" s="484"/>
      <c r="F81" s="37"/>
      <c r="G81" s="37"/>
      <c r="H81" s="38"/>
      <c r="I81" s="38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F81" s="50"/>
    </row>
    <row r="82" spans="1:32" ht="23.25" thickBot="1">
      <c r="A82" s="506" t="s">
        <v>111</v>
      </c>
      <c r="B82" s="507"/>
      <c r="C82" s="357" t="s">
        <v>2</v>
      </c>
      <c r="D82" s="357" t="s">
        <v>37</v>
      </c>
      <c r="E82" s="357" t="s">
        <v>121</v>
      </c>
      <c r="F82" s="486" t="s">
        <v>38</v>
      </c>
      <c r="G82" s="486"/>
      <c r="H82" s="486"/>
      <c r="I82" s="486"/>
      <c r="J82" s="486"/>
      <c r="K82" s="508" t="s">
        <v>58</v>
      </c>
      <c r="L82" s="509"/>
      <c r="M82" s="509"/>
      <c r="N82" s="509"/>
      <c r="O82" s="509"/>
      <c r="P82" s="509"/>
      <c r="Q82" s="509"/>
      <c r="R82" s="509"/>
      <c r="S82" s="510"/>
      <c r="T82" s="486" t="s">
        <v>49</v>
      </c>
      <c r="U82" s="486"/>
      <c r="V82" s="508" t="s">
        <v>50</v>
      </c>
      <c r="W82" s="510"/>
      <c r="X82" s="509" t="s">
        <v>51</v>
      </c>
      <c r="Y82" s="509"/>
      <c r="Z82" s="509"/>
      <c r="AA82" s="509"/>
      <c r="AB82" s="509"/>
      <c r="AC82" s="509"/>
      <c r="AD82" s="511"/>
      <c r="AF82" s="50"/>
    </row>
    <row r="83" spans="1:32" ht="33.75" customHeight="1">
      <c r="A83" s="478">
        <v>1</v>
      </c>
      <c r="B83" s="479"/>
      <c r="C83" s="356"/>
      <c r="D83" s="356"/>
      <c r="E83" s="65"/>
      <c r="F83" s="493"/>
      <c r="G83" s="494"/>
      <c r="H83" s="494"/>
      <c r="I83" s="494"/>
      <c r="J83" s="495"/>
      <c r="K83" s="496"/>
      <c r="L83" s="497"/>
      <c r="M83" s="497"/>
      <c r="N83" s="497"/>
      <c r="O83" s="497"/>
      <c r="P83" s="497"/>
      <c r="Q83" s="497"/>
      <c r="R83" s="497"/>
      <c r="S83" s="498"/>
      <c r="T83" s="499"/>
      <c r="U83" s="500"/>
      <c r="V83" s="501"/>
      <c r="W83" s="501"/>
      <c r="X83" s="502"/>
      <c r="Y83" s="502"/>
      <c r="Z83" s="502"/>
      <c r="AA83" s="502"/>
      <c r="AB83" s="502"/>
      <c r="AC83" s="502"/>
      <c r="AD83" s="503"/>
      <c r="AF83" s="50"/>
    </row>
    <row r="84" spans="1:32" ht="30" customHeight="1">
      <c r="A84" s="471">
        <f>A83+1</f>
        <v>2</v>
      </c>
      <c r="B84" s="472"/>
      <c r="C84" s="355"/>
      <c r="D84" s="355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ref="A85:A89" si="19">A84+1</f>
        <v>3</v>
      </c>
      <c r="B85" s="472"/>
      <c r="C85" s="355"/>
      <c r="D85" s="355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9"/>
        <v>4</v>
      </c>
      <c r="B86" s="472"/>
      <c r="C86" s="355"/>
      <c r="D86" s="355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9"/>
        <v>5</v>
      </c>
      <c r="B87" s="472"/>
      <c r="C87" s="355"/>
      <c r="D87" s="355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9"/>
        <v>6</v>
      </c>
      <c r="B88" s="472"/>
      <c r="C88" s="355"/>
      <c r="D88" s="355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0" customHeight="1">
      <c r="A89" s="471">
        <f t="shared" si="19"/>
        <v>7</v>
      </c>
      <c r="B89" s="472"/>
      <c r="C89" s="355"/>
      <c r="D89" s="355"/>
      <c r="E89" s="32"/>
      <c r="F89" s="472"/>
      <c r="G89" s="472"/>
      <c r="H89" s="472"/>
      <c r="I89" s="472"/>
      <c r="J89" s="472"/>
      <c r="K89" s="487"/>
      <c r="L89" s="488"/>
      <c r="M89" s="488"/>
      <c r="N89" s="488"/>
      <c r="O89" s="488"/>
      <c r="P89" s="488"/>
      <c r="Q89" s="488"/>
      <c r="R89" s="488"/>
      <c r="S89" s="489"/>
      <c r="T89" s="490"/>
      <c r="U89" s="490"/>
      <c r="V89" s="490"/>
      <c r="W89" s="490"/>
      <c r="X89" s="491"/>
      <c r="Y89" s="491"/>
      <c r="Z89" s="491"/>
      <c r="AA89" s="491"/>
      <c r="AB89" s="491"/>
      <c r="AC89" s="491"/>
      <c r="AD89" s="492"/>
      <c r="AF89" s="50"/>
    </row>
    <row r="90" spans="1:32" ht="36" thickBot="1">
      <c r="A90" s="484" t="s">
        <v>501</v>
      </c>
      <c r="B90" s="484"/>
      <c r="C90" s="484"/>
      <c r="D90" s="484"/>
      <c r="E90" s="484"/>
      <c r="F90" s="37"/>
      <c r="G90" s="37"/>
      <c r="H90" s="38"/>
      <c r="I90" s="38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F90" s="50"/>
    </row>
    <row r="91" spans="1:32" ht="30.75" customHeight="1" thickBot="1">
      <c r="A91" s="485" t="s">
        <v>111</v>
      </c>
      <c r="B91" s="486"/>
      <c r="C91" s="476" t="s">
        <v>52</v>
      </c>
      <c r="D91" s="476"/>
      <c r="E91" s="476" t="s">
        <v>53</v>
      </c>
      <c r="F91" s="476"/>
      <c r="G91" s="476"/>
      <c r="H91" s="476"/>
      <c r="I91" s="476"/>
      <c r="J91" s="476"/>
      <c r="K91" s="476" t="s">
        <v>54</v>
      </c>
      <c r="L91" s="476"/>
      <c r="M91" s="476"/>
      <c r="N91" s="476"/>
      <c r="O91" s="476"/>
      <c r="P91" s="476"/>
      <c r="Q91" s="476"/>
      <c r="R91" s="476"/>
      <c r="S91" s="476"/>
      <c r="T91" s="476" t="s">
        <v>55</v>
      </c>
      <c r="U91" s="476"/>
      <c r="V91" s="476" t="s">
        <v>56</v>
      </c>
      <c r="W91" s="476"/>
      <c r="X91" s="476"/>
      <c r="Y91" s="476" t="s">
        <v>51</v>
      </c>
      <c r="Z91" s="476"/>
      <c r="AA91" s="476"/>
      <c r="AB91" s="476"/>
      <c r="AC91" s="476"/>
      <c r="AD91" s="477"/>
      <c r="AF91" s="50"/>
    </row>
    <row r="92" spans="1:32" ht="30.75" customHeight="1">
      <c r="A92" s="478">
        <v>1</v>
      </c>
      <c r="B92" s="479"/>
      <c r="C92" s="480">
        <v>9</v>
      </c>
      <c r="D92" s="480"/>
      <c r="E92" s="480" t="s">
        <v>125</v>
      </c>
      <c r="F92" s="480"/>
      <c r="G92" s="480"/>
      <c r="H92" s="480"/>
      <c r="I92" s="480"/>
      <c r="J92" s="480"/>
      <c r="K92" s="480" t="s">
        <v>132</v>
      </c>
      <c r="L92" s="480"/>
      <c r="M92" s="480"/>
      <c r="N92" s="480"/>
      <c r="O92" s="480"/>
      <c r="P92" s="480"/>
      <c r="Q92" s="480"/>
      <c r="R92" s="480"/>
      <c r="S92" s="480"/>
      <c r="T92" s="480" t="s">
        <v>126</v>
      </c>
      <c r="U92" s="480"/>
      <c r="V92" s="481">
        <v>1900000</v>
      </c>
      <c r="W92" s="481"/>
      <c r="X92" s="481"/>
      <c r="Y92" s="482"/>
      <c r="Z92" s="482"/>
      <c r="AA92" s="482"/>
      <c r="AB92" s="482"/>
      <c r="AC92" s="482"/>
      <c r="AD92" s="483"/>
      <c r="AF92" s="50"/>
    </row>
    <row r="93" spans="1:32" ht="30.75" customHeight="1">
      <c r="A93" s="471">
        <v>2</v>
      </c>
      <c r="B93" s="472"/>
      <c r="C93" s="473"/>
      <c r="D93" s="473"/>
      <c r="E93" s="473"/>
      <c r="F93" s="473"/>
      <c r="G93" s="473"/>
      <c r="H93" s="473"/>
      <c r="I93" s="473"/>
      <c r="J93" s="473"/>
      <c r="K93" s="473"/>
      <c r="L93" s="473"/>
      <c r="M93" s="473"/>
      <c r="N93" s="473"/>
      <c r="O93" s="473"/>
      <c r="P93" s="473"/>
      <c r="Q93" s="473"/>
      <c r="R93" s="473"/>
      <c r="S93" s="473"/>
      <c r="T93" s="474"/>
      <c r="U93" s="474"/>
      <c r="V93" s="475"/>
      <c r="W93" s="475"/>
      <c r="X93" s="475"/>
      <c r="Y93" s="463"/>
      <c r="Z93" s="463"/>
      <c r="AA93" s="463"/>
      <c r="AB93" s="463"/>
      <c r="AC93" s="463"/>
      <c r="AD93" s="464"/>
      <c r="AF93" s="50"/>
    </row>
    <row r="94" spans="1:32" ht="30.75" customHeight="1" thickBot="1">
      <c r="A94" s="465">
        <v>3</v>
      </c>
      <c r="B94" s="466"/>
      <c r="C94" s="467"/>
      <c r="D94" s="467"/>
      <c r="E94" s="467"/>
      <c r="F94" s="467"/>
      <c r="G94" s="467"/>
      <c r="H94" s="467"/>
      <c r="I94" s="467"/>
      <c r="J94" s="467"/>
      <c r="K94" s="467"/>
      <c r="L94" s="467"/>
      <c r="M94" s="467"/>
      <c r="N94" s="467"/>
      <c r="O94" s="467"/>
      <c r="P94" s="467"/>
      <c r="Q94" s="467"/>
      <c r="R94" s="467"/>
      <c r="S94" s="467"/>
      <c r="T94" s="467"/>
      <c r="U94" s="467"/>
      <c r="V94" s="468"/>
      <c r="W94" s="468"/>
      <c r="X94" s="468"/>
      <c r="Y94" s="469"/>
      <c r="Z94" s="469"/>
      <c r="AA94" s="469"/>
      <c r="AB94" s="469"/>
      <c r="AC94" s="469"/>
      <c r="AD94" s="470"/>
      <c r="AF94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9:H29"/>
    <mergeCell ref="A56:E56"/>
    <mergeCell ref="A57:M57"/>
    <mergeCell ref="N57:AD57"/>
    <mergeCell ref="A58:B58"/>
    <mergeCell ref="F58:M58"/>
    <mergeCell ref="P58:Q58"/>
    <mergeCell ref="R58:U58"/>
    <mergeCell ref="V58:AD58"/>
    <mergeCell ref="I4:O4"/>
    <mergeCell ref="P4:Q4"/>
    <mergeCell ref="R4:V4"/>
    <mergeCell ref="W4:AA4"/>
    <mergeCell ref="AB4:AB5"/>
    <mergeCell ref="AC4:AC5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9:E69"/>
    <mergeCell ref="A70:B70"/>
    <mergeCell ref="F70:J70"/>
    <mergeCell ref="K70:L70"/>
    <mergeCell ref="N70:O70"/>
    <mergeCell ref="P70:Q70"/>
    <mergeCell ref="A67:B67"/>
    <mergeCell ref="F67:M67"/>
    <mergeCell ref="P67:Q67"/>
    <mergeCell ref="R70:AA70"/>
    <mergeCell ref="AB70:AD70"/>
    <mergeCell ref="A71:B71"/>
    <mergeCell ref="F71:J71"/>
    <mergeCell ref="K71:L71"/>
    <mergeCell ref="N71:O71"/>
    <mergeCell ref="P71:Q71"/>
    <mergeCell ref="R71:AA71"/>
    <mergeCell ref="AB71:AD71"/>
    <mergeCell ref="AB72:AD72"/>
    <mergeCell ref="A73:B73"/>
    <mergeCell ref="F73:J73"/>
    <mergeCell ref="K73:L73"/>
    <mergeCell ref="N73:O73"/>
    <mergeCell ref="P73:Q73"/>
    <mergeCell ref="R73:AA73"/>
    <mergeCell ref="AB73:AD73"/>
    <mergeCell ref="A72:B72"/>
    <mergeCell ref="F72:J72"/>
    <mergeCell ref="K72:L72"/>
    <mergeCell ref="N72:O72"/>
    <mergeCell ref="P72:Q72"/>
    <mergeCell ref="R72:AA72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E81"/>
    <mergeCell ref="A82:B82"/>
    <mergeCell ref="F82:J82"/>
    <mergeCell ref="K82:S82"/>
    <mergeCell ref="T82:U82"/>
    <mergeCell ref="V82:W82"/>
    <mergeCell ref="X82:AD82"/>
    <mergeCell ref="A80:B80"/>
    <mergeCell ref="F80:J80"/>
    <mergeCell ref="K80:L80"/>
    <mergeCell ref="N80:O80"/>
    <mergeCell ref="P80:Q80"/>
    <mergeCell ref="R80:AA80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90:E90"/>
    <mergeCell ref="A91:B91"/>
    <mergeCell ref="C91:D91"/>
    <mergeCell ref="E91:J91"/>
    <mergeCell ref="K91:S91"/>
    <mergeCell ref="T91:U91"/>
    <mergeCell ref="A89:B89"/>
    <mergeCell ref="F89:J89"/>
    <mergeCell ref="K89:S89"/>
    <mergeCell ref="T89:U89"/>
    <mergeCell ref="V91:X91"/>
    <mergeCell ref="Y91:AD91"/>
    <mergeCell ref="A92:B92"/>
    <mergeCell ref="C92:D92"/>
    <mergeCell ref="E92:J92"/>
    <mergeCell ref="K92:S92"/>
    <mergeCell ref="T92:U92"/>
    <mergeCell ref="V92:X92"/>
    <mergeCell ref="Y92:AD92"/>
    <mergeCell ref="Y93:AD93"/>
    <mergeCell ref="A94:B94"/>
    <mergeCell ref="C94:D94"/>
    <mergeCell ref="E94:J94"/>
    <mergeCell ref="K94:S94"/>
    <mergeCell ref="T94:U94"/>
    <mergeCell ref="V94:X94"/>
    <mergeCell ref="Y94:AD94"/>
    <mergeCell ref="A93:B93"/>
    <mergeCell ref="C93:D93"/>
    <mergeCell ref="E93:J93"/>
    <mergeCell ref="K93:S93"/>
    <mergeCell ref="T93:U93"/>
    <mergeCell ref="V93:X93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4" max="2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1B44-3C95-4ED3-8FDD-C0C9EA374FC5}">
  <dimension ref="A1:AF93"/>
  <sheetViews>
    <sheetView view="pageBreakPreview" zoomScale="70" zoomScaleNormal="72" zoomScaleSheetLayoutView="70" workbookViewId="0">
      <selection activeCell="A90" sqref="A90:B9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203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152" t="s">
        <v>17</v>
      </c>
      <c r="L5" s="152" t="s">
        <v>18</v>
      </c>
      <c r="M5" s="152" t="s">
        <v>19</v>
      </c>
      <c r="N5" s="152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112</v>
      </c>
      <c r="D6" s="52" t="s">
        <v>127</v>
      </c>
      <c r="E6" s="53" t="s">
        <v>180</v>
      </c>
      <c r="F6" s="30" t="s">
        <v>141</v>
      </c>
      <c r="G6" s="12">
        <v>2</v>
      </c>
      <c r="H6" s="13">
        <v>24</v>
      </c>
      <c r="I6" s="31">
        <v>185000</v>
      </c>
      <c r="J6" s="14">
        <v>10978</v>
      </c>
      <c r="K6" s="15">
        <f>L6+5840+11504+11434+11462+11458+11584</f>
        <v>74260</v>
      </c>
      <c r="L6" s="15">
        <f>2989*2+2500*2</f>
        <v>10978</v>
      </c>
      <c r="M6" s="15">
        <f t="shared" ref="M6:M27" si="0">L6-N6</f>
        <v>10978</v>
      </c>
      <c r="N6" s="15">
        <v>0</v>
      </c>
      <c r="O6" s="58">
        <f t="shared" ref="O6:O28" si="1">IF(L6=0,"0",N6/L6)</f>
        <v>0</v>
      </c>
      <c r="P6" s="39">
        <f t="shared" ref="P6:P27" si="2">IF(L6=0,"0",(24-Q6))</f>
        <v>24</v>
      </c>
      <c r="Q6" s="40">
        <f t="shared" ref="Q6:Q27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27" si="4">IF(J6=0,"0",(L6/J6))</f>
        <v>1</v>
      </c>
      <c r="AC6" s="9">
        <f t="shared" ref="AC6:AC27" si="5">IF(P6=0,"0",(P6/24))</f>
        <v>1</v>
      </c>
      <c r="AD6" s="10">
        <f t="shared" ref="AD6:AD27" si="6">AC6*AB6*(1-O6)</f>
        <v>1</v>
      </c>
      <c r="AE6" s="36">
        <f t="shared" ref="AE6:AE27" si="7">$AD$28</f>
        <v>0.43181818181818182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163</v>
      </c>
      <c r="D7" s="52"/>
      <c r="E7" s="53" t="s">
        <v>185</v>
      </c>
      <c r="F7" s="30" t="s">
        <v>169</v>
      </c>
      <c r="G7" s="12">
        <v>1</v>
      </c>
      <c r="H7" s="13">
        <v>24</v>
      </c>
      <c r="I7" s="31">
        <v>1100</v>
      </c>
      <c r="J7" s="14">
        <v>1500</v>
      </c>
      <c r="K7" s="15">
        <f>L7+1500</f>
        <v>1500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0.43181818181818182</v>
      </c>
      <c r="AF7" s="84">
        <f t="shared" si="8"/>
        <v>2</v>
      </c>
    </row>
    <row r="8" spans="1:32" ht="27" customHeight="1">
      <c r="A8" s="96">
        <v>3</v>
      </c>
      <c r="B8" s="11" t="s">
        <v>57</v>
      </c>
      <c r="C8" s="34" t="s">
        <v>116</v>
      </c>
      <c r="D8" s="52" t="s">
        <v>123</v>
      </c>
      <c r="E8" s="53" t="s">
        <v>170</v>
      </c>
      <c r="F8" s="30" t="s">
        <v>165</v>
      </c>
      <c r="G8" s="12">
        <v>1</v>
      </c>
      <c r="H8" s="13">
        <v>24</v>
      </c>
      <c r="I8" s="7">
        <v>40000</v>
      </c>
      <c r="J8" s="14">
        <v>6168</v>
      </c>
      <c r="K8" s="15">
        <f>L8+3374+6197+4609+3474</f>
        <v>23822</v>
      </c>
      <c r="L8" s="15">
        <f>3295+2873</f>
        <v>6168</v>
      </c>
      <c r="M8" s="15">
        <f t="shared" si="0"/>
        <v>6168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0.43181818181818182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116</v>
      </c>
      <c r="D9" s="52" t="s">
        <v>115</v>
      </c>
      <c r="E9" s="53" t="s">
        <v>197</v>
      </c>
      <c r="F9" s="30" t="s">
        <v>171</v>
      </c>
      <c r="G9" s="12">
        <v>1</v>
      </c>
      <c r="H9" s="13">
        <v>24</v>
      </c>
      <c r="I9" s="7">
        <v>17000</v>
      </c>
      <c r="J9" s="14">
        <v>3449</v>
      </c>
      <c r="K9" s="15">
        <f>L9</f>
        <v>3449</v>
      </c>
      <c r="L9" s="15">
        <f>1135+2314</f>
        <v>3449</v>
      </c>
      <c r="M9" s="15">
        <f t="shared" si="0"/>
        <v>3449</v>
      </c>
      <c r="N9" s="15">
        <v>0</v>
      </c>
      <c r="O9" s="58">
        <f t="shared" si="1"/>
        <v>0</v>
      </c>
      <c r="P9" s="39">
        <f t="shared" si="2"/>
        <v>18</v>
      </c>
      <c r="Q9" s="40">
        <f t="shared" si="3"/>
        <v>6</v>
      </c>
      <c r="R9" s="7">
        <v>4</v>
      </c>
      <c r="S9" s="6"/>
      <c r="T9" s="16">
        <v>2</v>
      </c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0.75</v>
      </c>
      <c r="AD9" s="10">
        <f t="shared" si="6"/>
        <v>0.75</v>
      </c>
      <c r="AE9" s="36">
        <f t="shared" si="7"/>
        <v>0.43181818181818182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163</v>
      </c>
      <c r="D10" s="52"/>
      <c r="E10" s="53" t="s">
        <v>204</v>
      </c>
      <c r="F10" s="30" t="s">
        <v>205</v>
      </c>
      <c r="G10" s="33">
        <v>2</v>
      </c>
      <c r="H10" s="35">
        <v>24</v>
      </c>
      <c r="I10" s="7">
        <v>100000</v>
      </c>
      <c r="J10" s="14">
        <v>10206</v>
      </c>
      <c r="K10" s="15">
        <f>L10</f>
        <v>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>
        <v>24</v>
      </c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6"/>
        <v>0</v>
      </c>
      <c r="AE10" s="36">
        <f t="shared" si="7"/>
        <v>0.43181818181818182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123</v>
      </c>
      <c r="E11" s="53" t="s">
        <v>202</v>
      </c>
      <c r="F11" s="30" t="s">
        <v>128</v>
      </c>
      <c r="G11" s="33">
        <v>1</v>
      </c>
      <c r="H11" s="35">
        <v>24</v>
      </c>
      <c r="I11" s="7">
        <v>17000</v>
      </c>
      <c r="J11" s="14">
        <v>117</v>
      </c>
      <c r="K11" s="15">
        <f>L11</f>
        <v>117</v>
      </c>
      <c r="L11" s="15">
        <v>117</v>
      </c>
      <c r="M11" s="15">
        <f t="shared" si="0"/>
        <v>117</v>
      </c>
      <c r="N11" s="15">
        <v>0</v>
      </c>
      <c r="O11" s="58">
        <f t="shared" si="1"/>
        <v>0</v>
      </c>
      <c r="P11" s="39">
        <f t="shared" si="2"/>
        <v>4</v>
      </c>
      <c r="Q11" s="40">
        <f t="shared" si="3"/>
        <v>20</v>
      </c>
      <c r="R11" s="7"/>
      <c r="S11" s="6">
        <v>20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0.16666666666666666</v>
      </c>
      <c r="AD11" s="10">
        <f t="shared" si="6"/>
        <v>0.16666666666666666</v>
      </c>
      <c r="AE11" s="36">
        <f t="shared" si="7"/>
        <v>0.43181818181818182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116</v>
      </c>
      <c r="D12" s="52" t="s">
        <v>115</v>
      </c>
      <c r="E12" s="53" t="s">
        <v>176</v>
      </c>
      <c r="F12" s="30" t="s">
        <v>148</v>
      </c>
      <c r="G12" s="12">
        <v>1</v>
      </c>
      <c r="H12" s="13">
        <v>22</v>
      </c>
      <c r="I12" s="31">
        <v>80000</v>
      </c>
      <c r="J12" s="5">
        <v>5297</v>
      </c>
      <c r="K12" s="15">
        <f>L12+3050+5463+5497+6377+5244+5460+5580+5482+5489+5556+3742+5513+5475+4332+5489+5313</f>
        <v>88359</v>
      </c>
      <c r="L12" s="15">
        <f>2802+2495</f>
        <v>5297</v>
      </c>
      <c r="M12" s="15">
        <f t="shared" si="0"/>
        <v>5297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6"/>
        <v>1</v>
      </c>
      <c r="AE12" s="36">
        <f t="shared" si="7"/>
        <v>0.43181818181818182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123</v>
      </c>
      <c r="E13" s="53" t="s">
        <v>182</v>
      </c>
      <c r="F13" s="30" t="s">
        <v>130</v>
      </c>
      <c r="G13" s="33">
        <v>1</v>
      </c>
      <c r="H13" s="35">
        <v>35</v>
      </c>
      <c r="I13" s="7">
        <v>1000</v>
      </c>
      <c r="J13" s="14">
        <v>3204</v>
      </c>
      <c r="K13" s="15">
        <f>L13+3204</f>
        <v>3204</v>
      </c>
      <c r="L13" s="15"/>
      <c r="M13" s="15">
        <f t="shared" si="0"/>
        <v>0</v>
      </c>
      <c r="N13" s="15">
        <v>0</v>
      </c>
      <c r="O13" s="58" t="str">
        <f t="shared" si="1"/>
        <v>0</v>
      </c>
      <c r="P13" s="39" t="str">
        <f t="shared" si="2"/>
        <v>0</v>
      </c>
      <c r="Q13" s="40">
        <f t="shared" si="3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4"/>
        <v>0</v>
      </c>
      <c r="AC13" s="9">
        <f t="shared" si="5"/>
        <v>0</v>
      </c>
      <c r="AD13" s="10">
        <f t="shared" si="6"/>
        <v>0</v>
      </c>
      <c r="AE13" s="36">
        <f t="shared" si="7"/>
        <v>0.43181818181818182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112</v>
      </c>
      <c r="D14" s="52" t="s">
        <v>115</v>
      </c>
      <c r="E14" s="53" t="s">
        <v>181</v>
      </c>
      <c r="F14" s="30" t="s">
        <v>171</v>
      </c>
      <c r="G14" s="33">
        <v>1</v>
      </c>
      <c r="H14" s="35">
        <v>50</v>
      </c>
      <c r="I14" s="7">
        <v>500</v>
      </c>
      <c r="J14" s="5">
        <v>608</v>
      </c>
      <c r="K14" s="15">
        <f>L14+290</f>
        <v>898</v>
      </c>
      <c r="L14" s="15">
        <f>456+152</f>
        <v>608</v>
      </c>
      <c r="M14" s="15">
        <f t="shared" si="0"/>
        <v>608</v>
      </c>
      <c r="N14" s="15">
        <v>0</v>
      </c>
      <c r="O14" s="58">
        <f t="shared" si="1"/>
        <v>0</v>
      </c>
      <c r="P14" s="39">
        <f t="shared" si="2"/>
        <v>13</v>
      </c>
      <c r="Q14" s="40">
        <f t="shared" si="3"/>
        <v>11</v>
      </c>
      <c r="R14" s="7"/>
      <c r="S14" s="6">
        <v>11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0.54166666666666663</v>
      </c>
      <c r="AD14" s="10">
        <f t="shared" si="6"/>
        <v>0.54166666666666663</v>
      </c>
      <c r="AE14" s="36">
        <f t="shared" si="7"/>
        <v>0.43181818181818182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12000</v>
      </c>
      <c r="J15" s="14">
        <v>12356</v>
      </c>
      <c r="K15" s="15">
        <f>L15+12356</f>
        <v>12356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0.43181818181818182</v>
      </c>
      <c r="AF15" s="84">
        <f t="shared" si="8"/>
        <v>10</v>
      </c>
    </row>
    <row r="16" spans="1:32" ht="30" customHeight="1">
      <c r="A16" s="112">
        <v>11</v>
      </c>
      <c r="B16" s="11" t="s">
        <v>57</v>
      </c>
      <c r="C16" s="34" t="s">
        <v>138</v>
      </c>
      <c r="D16" s="52" t="s">
        <v>115</v>
      </c>
      <c r="E16" s="53" t="s">
        <v>190</v>
      </c>
      <c r="F16" s="30" t="s">
        <v>139</v>
      </c>
      <c r="G16" s="12">
        <v>2</v>
      </c>
      <c r="H16" s="13">
        <v>24</v>
      </c>
      <c r="I16" s="7">
        <v>50000</v>
      </c>
      <c r="J16" s="14">
        <v>10666</v>
      </c>
      <c r="K16" s="15">
        <f>L16+11860</f>
        <v>22526</v>
      </c>
      <c r="L16" s="15">
        <f>2685*2+2648*2</f>
        <v>10666</v>
      </c>
      <c r="M16" s="15">
        <f t="shared" si="0"/>
        <v>10666</v>
      </c>
      <c r="N16" s="15">
        <v>0</v>
      </c>
      <c r="O16" s="58">
        <f t="shared" si="1"/>
        <v>0</v>
      </c>
      <c r="P16" s="39">
        <f t="shared" si="2"/>
        <v>21</v>
      </c>
      <c r="Q16" s="40">
        <f t="shared" si="3"/>
        <v>3</v>
      </c>
      <c r="R16" s="7"/>
      <c r="S16" s="6">
        <v>3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0.875</v>
      </c>
      <c r="AD16" s="10">
        <f t="shared" si="6"/>
        <v>0.875</v>
      </c>
      <c r="AE16" s="36">
        <f t="shared" si="7"/>
        <v>0.43181818181818182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163</v>
      </c>
      <c r="D17" s="52"/>
      <c r="E17" s="53" t="s">
        <v>183</v>
      </c>
      <c r="F17" s="30" t="s">
        <v>169</v>
      </c>
      <c r="G17" s="12">
        <v>1</v>
      </c>
      <c r="H17" s="13">
        <v>24</v>
      </c>
      <c r="I17" s="7">
        <v>6000</v>
      </c>
      <c r="J17" s="14">
        <v>1472</v>
      </c>
      <c r="K17" s="15">
        <f>L17</f>
        <v>0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>
        <v>24</v>
      </c>
      <c r="T17" s="16"/>
      <c r="U17" s="16"/>
      <c r="V17" s="17"/>
      <c r="W17" s="5"/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0.43181818181818182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137</v>
      </c>
      <c r="E18" s="53" t="s">
        <v>191</v>
      </c>
      <c r="F18" s="30" t="s">
        <v>130</v>
      </c>
      <c r="G18" s="33">
        <v>1</v>
      </c>
      <c r="H18" s="35">
        <v>24</v>
      </c>
      <c r="I18" s="7">
        <v>180000</v>
      </c>
      <c r="J18" s="14">
        <v>11100</v>
      </c>
      <c r="K18" s="15">
        <f>L18+9952</f>
        <v>21052</v>
      </c>
      <c r="L18" s="15">
        <f>2969*2+2581*2</f>
        <v>11100</v>
      </c>
      <c r="M18" s="15">
        <f t="shared" si="0"/>
        <v>11100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6"/>
        <v>1</v>
      </c>
      <c r="AE18" s="36">
        <f t="shared" si="7"/>
        <v>0.43181818181818182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112</v>
      </c>
      <c r="D19" s="52" t="s">
        <v>137</v>
      </c>
      <c r="E19" s="53" t="s">
        <v>145</v>
      </c>
      <c r="F19" s="30" t="s">
        <v>130</v>
      </c>
      <c r="G19" s="33">
        <v>1</v>
      </c>
      <c r="H19" s="35">
        <v>24</v>
      </c>
      <c r="I19" s="7">
        <v>54000</v>
      </c>
      <c r="J19" s="14">
        <v>330</v>
      </c>
      <c r="K19" s="15">
        <f>L19+5079+5307+3503+1179+3568+5398+5390+5307+4716+2400+323+2119+4726+5252+4548+4887+1332+2129+2783</f>
        <v>70276</v>
      </c>
      <c r="L19" s="15">
        <v>330</v>
      </c>
      <c r="M19" s="15">
        <f t="shared" si="0"/>
        <v>330</v>
      </c>
      <c r="N19" s="15">
        <v>0</v>
      </c>
      <c r="O19" s="58">
        <f t="shared" si="1"/>
        <v>0</v>
      </c>
      <c r="P19" s="39">
        <f t="shared" si="2"/>
        <v>4</v>
      </c>
      <c r="Q19" s="40">
        <f t="shared" si="3"/>
        <v>20</v>
      </c>
      <c r="R19" s="7"/>
      <c r="S19" s="6">
        <v>20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0.16666666666666666</v>
      </c>
      <c r="AD19" s="10">
        <f t="shared" si="6"/>
        <v>0.16666666666666666</v>
      </c>
      <c r="AE19" s="36">
        <f t="shared" si="7"/>
        <v>0.43181818181818182</v>
      </c>
      <c r="AF19" s="84">
        <f t="shared" si="8"/>
        <v>14</v>
      </c>
    </row>
    <row r="20" spans="1:32" ht="30" customHeight="1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206</v>
      </c>
      <c r="G20" s="12">
        <v>2</v>
      </c>
      <c r="H20" s="13">
        <v>24</v>
      </c>
      <c r="I20" s="7">
        <v>230000</v>
      </c>
      <c r="J20" s="14">
        <v>10216</v>
      </c>
      <c r="K20" s="15">
        <f>L20+7008+11154+9077+8768+10676+10588+2521+7242+10236</f>
        <v>87486</v>
      </c>
      <c r="L20" s="15">
        <f>2718*2+2390*2</f>
        <v>10216</v>
      </c>
      <c r="M20" s="15">
        <f t="shared" si="0"/>
        <v>10216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0.43181818181818182</v>
      </c>
      <c r="AF20" s="84">
        <f t="shared" si="8"/>
        <v>15</v>
      </c>
    </row>
    <row r="21" spans="1:32" ht="27" customHeight="1">
      <c r="A21" s="96">
        <v>16</v>
      </c>
      <c r="B21" s="11" t="s">
        <v>57</v>
      </c>
      <c r="C21" s="11" t="s">
        <v>113</v>
      </c>
      <c r="D21" s="52"/>
      <c r="E21" s="53" t="s">
        <v>134</v>
      </c>
      <c r="F21" s="12" t="s">
        <v>114</v>
      </c>
      <c r="G21" s="12">
        <v>4</v>
      </c>
      <c r="H21" s="35">
        <v>20</v>
      </c>
      <c r="I21" s="7">
        <v>1000000</v>
      </c>
      <c r="J21" s="14">
        <v>56468</v>
      </c>
      <c r="K21" s="15">
        <f>L21+52608+61640+61384+61404+61548+56540</f>
        <v>411592</v>
      </c>
      <c r="L21" s="15">
        <f>7930*4+6187*4</f>
        <v>56468</v>
      </c>
      <c r="M21" s="15">
        <f t="shared" si="0"/>
        <v>56468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0.43181818181818182</v>
      </c>
      <c r="AF21" s="84">
        <f t="shared" si="8"/>
        <v>16</v>
      </c>
    </row>
    <row r="22" spans="1:32" ht="27" customHeight="1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0.43181818181818182</v>
      </c>
      <c r="AF22" s="84">
        <f t="shared" si="8"/>
        <v>31</v>
      </c>
    </row>
    <row r="23" spans="1:32" ht="27" customHeight="1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0.43181818181818182</v>
      </c>
      <c r="AF23" s="84">
        <f t="shared" si="8"/>
        <v>32</v>
      </c>
    </row>
    <row r="24" spans="1:32" ht="27" customHeight="1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6519</v>
      </c>
      <c r="K24" s="15">
        <f>L24+4387+7770+5806+7905+7479+7369+7360+2397+6904+7208+7013+6976+6992+2652+6495+7026+7051+7084+4297</f>
        <v>126690</v>
      </c>
      <c r="L24" s="15">
        <f>3505+3014</f>
        <v>6519</v>
      </c>
      <c r="M24" s="15">
        <f t="shared" si="0"/>
        <v>6519</v>
      </c>
      <c r="N24" s="15">
        <v>0</v>
      </c>
      <c r="O24" s="58">
        <f t="shared" si="1"/>
        <v>0</v>
      </c>
      <c r="P24" s="39">
        <f t="shared" si="2"/>
        <v>24</v>
      </c>
      <c r="Q24" s="40">
        <f t="shared" si="3"/>
        <v>0</v>
      </c>
      <c r="R24" s="7"/>
      <c r="S24" s="6"/>
      <c r="T24" s="16"/>
      <c r="U24" s="16"/>
      <c r="V24" s="120"/>
      <c r="W24" s="5"/>
      <c r="X24" s="16"/>
      <c r="Y24" s="16"/>
      <c r="Z24" s="16"/>
      <c r="AA24" s="18"/>
      <c r="AB24" s="8">
        <f t="shared" si="4"/>
        <v>1</v>
      </c>
      <c r="AC24" s="9">
        <f t="shared" si="5"/>
        <v>1</v>
      </c>
      <c r="AD24" s="10">
        <f t="shared" si="6"/>
        <v>1</v>
      </c>
      <c r="AE24" s="36">
        <f t="shared" si="7"/>
        <v>0.43181818181818182</v>
      </c>
      <c r="AF24" s="84">
        <f t="shared" si="8"/>
        <v>33</v>
      </c>
    </row>
    <row r="25" spans="1:32" ht="27" customHeight="1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0.43181818181818182</v>
      </c>
      <c r="AF25" s="84">
        <f t="shared" si="8"/>
        <v>34</v>
      </c>
    </row>
    <row r="26" spans="1:32" ht="27" customHeight="1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0.43181818181818182</v>
      </c>
      <c r="AF26" s="84">
        <f t="shared" si="8"/>
        <v>35</v>
      </c>
    </row>
    <row r="27" spans="1:32" ht="27" customHeight="1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700000</v>
      </c>
      <c r="J27" s="14">
        <v>89792</v>
      </c>
      <c r="K27" s="15">
        <f>L27+326528+448864+89792</f>
        <v>865184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0.43181818181818182</v>
      </c>
      <c r="AF27" s="84">
        <f t="shared" si="8"/>
        <v>36</v>
      </c>
    </row>
    <row r="28" spans="1:32" ht="31.5" customHeight="1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9">SUM(I6:I27)</f>
        <v>3293600</v>
      </c>
      <c r="J28" s="19">
        <f t="shared" si="9"/>
        <v>262034</v>
      </c>
      <c r="K28" s="20">
        <f t="shared" si="9"/>
        <v>2352415</v>
      </c>
      <c r="L28" s="21">
        <f t="shared" si="9"/>
        <v>121916</v>
      </c>
      <c r="M28" s="20">
        <f t="shared" si="9"/>
        <v>121916</v>
      </c>
      <c r="N28" s="21">
        <f t="shared" si="9"/>
        <v>0</v>
      </c>
      <c r="O28" s="41">
        <f t="shared" si="1"/>
        <v>0</v>
      </c>
      <c r="P28" s="42">
        <f t="shared" ref="P28:AA28" si="10">SUM(P6:P27)</f>
        <v>228</v>
      </c>
      <c r="Q28" s="43">
        <f t="shared" si="10"/>
        <v>300</v>
      </c>
      <c r="R28" s="23">
        <f t="shared" si="10"/>
        <v>4</v>
      </c>
      <c r="S28" s="24">
        <f t="shared" si="10"/>
        <v>78</v>
      </c>
      <c r="T28" s="24">
        <f t="shared" si="10"/>
        <v>2</v>
      </c>
      <c r="U28" s="24">
        <f t="shared" si="10"/>
        <v>0</v>
      </c>
      <c r="V28" s="25">
        <f t="shared" si="10"/>
        <v>72</v>
      </c>
      <c r="W28" s="26">
        <f t="shared" si="10"/>
        <v>144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0</v>
      </c>
      <c r="AB28" s="28">
        <f>AVERAGE(AB6:AB27)</f>
        <v>0.6</v>
      </c>
      <c r="AC28" s="4">
        <f>AVERAGE(AC6:AC27)</f>
        <v>0.43181818181818182</v>
      </c>
      <c r="AD28" s="4">
        <f>AVERAGE(AD6:AD27)</f>
        <v>0.43181818181818182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207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212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151" t="s">
        <v>46</v>
      </c>
      <c r="D57" s="151" t="s">
        <v>47</v>
      </c>
      <c r="E57" s="151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151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28" t="s">
        <v>112</v>
      </c>
      <c r="B58" s="529"/>
      <c r="C58" s="146" t="s">
        <v>158</v>
      </c>
      <c r="D58" s="146" t="s">
        <v>115</v>
      </c>
      <c r="E58" s="147" t="s">
        <v>181</v>
      </c>
      <c r="F58" s="530" t="s">
        <v>120</v>
      </c>
      <c r="G58" s="531"/>
      <c r="H58" s="531"/>
      <c r="I58" s="531"/>
      <c r="J58" s="531"/>
      <c r="K58" s="531"/>
      <c r="L58" s="531"/>
      <c r="M58" s="532"/>
      <c r="N58" s="150" t="s">
        <v>163</v>
      </c>
      <c r="O58" s="144" t="s">
        <v>164</v>
      </c>
      <c r="P58" s="544"/>
      <c r="Q58" s="545"/>
      <c r="R58" s="544" t="s">
        <v>183</v>
      </c>
      <c r="S58" s="546"/>
      <c r="T58" s="546"/>
      <c r="U58" s="545"/>
      <c r="V58" s="517" t="s">
        <v>120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28" t="s">
        <v>112</v>
      </c>
      <c r="B59" s="529"/>
      <c r="C59" s="146" t="s">
        <v>161</v>
      </c>
      <c r="D59" s="146" t="s">
        <v>137</v>
      </c>
      <c r="E59" s="147" t="s">
        <v>145</v>
      </c>
      <c r="F59" s="530" t="s">
        <v>211</v>
      </c>
      <c r="G59" s="531"/>
      <c r="H59" s="531"/>
      <c r="I59" s="531"/>
      <c r="J59" s="531"/>
      <c r="K59" s="531"/>
      <c r="L59" s="531"/>
      <c r="M59" s="532"/>
      <c r="N59" s="150" t="s">
        <v>112</v>
      </c>
      <c r="O59" s="144" t="s">
        <v>195</v>
      </c>
      <c r="P59" s="544" t="s">
        <v>135</v>
      </c>
      <c r="Q59" s="545"/>
      <c r="R59" s="544" t="s">
        <v>179</v>
      </c>
      <c r="S59" s="546"/>
      <c r="T59" s="546"/>
      <c r="U59" s="545"/>
      <c r="V59" s="517" t="s">
        <v>194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28" t="s">
        <v>116</v>
      </c>
      <c r="B60" s="529"/>
      <c r="C60" s="146" t="s">
        <v>200</v>
      </c>
      <c r="D60" s="146" t="s">
        <v>115</v>
      </c>
      <c r="E60" s="147" t="s">
        <v>197</v>
      </c>
      <c r="F60" s="530" t="s">
        <v>124</v>
      </c>
      <c r="G60" s="531"/>
      <c r="H60" s="531"/>
      <c r="I60" s="531"/>
      <c r="J60" s="531"/>
      <c r="K60" s="531"/>
      <c r="L60" s="531"/>
      <c r="M60" s="532"/>
      <c r="N60" s="150" t="s">
        <v>116</v>
      </c>
      <c r="O60" s="144" t="s">
        <v>201</v>
      </c>
      <c r="P60" s="544" t="s">
        <v>135</v>
      </c>
      <c r="Q60" s="545"/>
      <c r="R60" s="544" t="s">
        <v>202</v>
      </c>
      <c r="S60" s="546"/>
      <c r="T60" s="546"/>
      <c r="U60" s="545"/>
      <c r="V60" s="517" t="s">
        <v>120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116</v>
      </c>
      <c r="B61" s="533"/>
      <c r="C61" s="147" t="s">
        <v>201</v>
      </c>
      <c r="D61" s="147" t="s">
        <v>135</v>
      </c>
      <c r="E61" s="147" t="s">
        <v>202</v>
      </c>
      <c r="F61" s="530" t="s">
        <v>208</v>
      </c>
      <c r="G61" s="531"/>
      <c r="H61" s="531"/>
      <c r="I61" s="531"/>
      <c r="J61" s="531"/>
      <c r="K61" s="531"/>
      <c r="L61" s="531"/>
      <c r="M61" s="532"/>
      <c r="N61" s="150" t="s">
        <v>112</v>
      </c>
      <c r="O61" s="144" t="s">
        <v>161</v>
      </c>
      <c r="P61" s="544" t="s">
        <v>115</v>
      </c>
      <c r="Q61" s="545"/>
      <c r="R61" s="544" t="s">
        <v>213</v>
      </c>
      <c r="S61" s="546"/>
      <c r="T61" s="546"/>
      <c r="U61" s="545"/>
      <c r="V61" s="517" t="s">
        <v>124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 t="s">
        <v>138</v>
      </c>
      <c r="B62" s="533"/>
      <c r="C62" s="147" t="s">
        <v>210</v>
      </c>
      <c r="D62" s="147" t="s">
        <v>115</v>
      </c>
      <c r="E62" s="147" t="s">
        <v>190</v>
      </c>
      <c r="F62" s="530" t="s">
        <v>209</v>
      </c>
      <c r="G62" s="531"/>
      <c r="H62" s="531"/>
      <c r="I62" s="531"/>
      <c r="J62" s="531"/>
      <c r="K62" s="531"/>
      <c r="L62" s="531"/>
      <c r="M62" s="532"/>
      <c r="N62" s="150"/>
      <c r="O62" s="144"/>
      <c r="P62" s="544"/>
      <c r="Q62" s="545"/>
      <c r="R62" s="544"/>
      <c r="S62" s="546"/>
      <c r="T62" s="546"/>
      <c r="U62" s="545"/>
      <c r="V62" s="517"/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/>
      <c r="B63" s="533"/>
      <c r="C63" s="147"/>
      <c r="D63" s="147"/>
      <c r="E63" s="147"/>
      <c r="F63" s="530"/>
      <c r="G63" s="531"/>
      <c r="H63" s="531"/>
      <c r="I63" s="531"/>
      <c r="J63" s="531"/>
      <c r="K63" s="531"/>
      <c r="L63" s="531"/>
      <c r="M63" s="532"/>
      <c r="N63" s="150"/>
      <c r="O63" s="144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147"/>
      <c r="D64" s="147"/>
      <c r="E64" s="147"/>
      <c r="F64" s="530"/>
      <c r="G64" s="531"/>
      <c r="H64" s="531"/>
      <c r="I64" s="531"/>
      <c r="J64" s="531"/>
      <c r="K64" s="531"/>
      <c r="L64" s="531"/>
      <c r="M64" s="532"/>
      <c r="N64" s="150"/>
      <c r="O64" s="144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146"/>
      <c r="D65" s="146"/>
      <c r="E65" s="147"/>
      <c r="F65" s="530"/>
      <c r="G65" s="531"/>
      <c r="H65" s="531"/>
      <c r="I65" s="531"/>
      <c r="J65" s="531"/>
      <c r="K65" s="531"/>
      <c r="L65" s="531"/>
      <c r="M65" s="532"/>
      <c r="N65" s="150"/>
      <c r="O65" s="144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146"/>
      <c r="D66" s="146"/>
      <c r="E66" s="147"/>
      <c r="F66" s="530"/>
      <c r="G66" s="531"/>
      <c r="H66" s="531"/>
      <c r="I66" s="531"/>
      <c r="J66" s="531"/>
      <c r="K66" s="531"/>
      <c r="L66" s="531"/>
      <c r="M66" s="532"/>
      <c r="N66" s="150"/>
      <c r="O66" s="144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148"/>
      <c r="D67" s="149"/>
      <c r="E67" s="148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214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145" t="s">
        <v>2</v>
      </c>
      <c r="D69" s="145" t="s">
        <v>37</v>
      </c>
      <c r="E69" s="145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145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 t="s">
        <v>112</v>
      </c>
      <c r="D70" s="140"/>
      <c r="E70" s="143" t="s">
        <v>127</v>
      </c>
      <c r="F70" s="518" t="s">
        <v>215</v>
      </c>
      <c r="G70" s="519"/>
      <c r="H70" s="519"/>
      <c r="I70" s="519"/>
      <c r="J70" s="520"/>
      <c r="K70" s="504" t="s">
        <v>141</v>
      </c>
      <c r="L70" s="504"/>
      <c r="M70" s="51" t="s">
        <v>216</v>
      </c>
      <c r="N70" s="515" t="s">
        <v>217</v>
      </c>
      <c r="O70" s="515"/>
      <c r="P70" s="516">
        <v>200</v>
      </c>
      <c r="Q70" s="516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 t="s">
        <v>112</v>
      </c>
      <c r="D71" s="140"/>
      <c r="E71" s="143" t="s">
        <v>127</v>
      </c>
      <c r="F71" s="518" t="s">
        <v>218</v>
      </c>
      <c r="G71" s="519"/>
      <c r="H71" s="519"/>
      <c r="I71" s="519"/>
      <c r="J71" s="520"/>
      <c r="K71" s="504" t="s">
        <v>141</v>
      </c>
      <c r="L71" s="504"/>
      <c r="M71" s="51" t="s">
        <v>216</v>
      </c>
      <c r="N71" s="515" t="s">
        <v>217</v>
      </c>
      <c r="O71" s="515"/>
      <c r="P71" s="516">
        <v>200</v>
      </c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/>
      <c r="D72" s="140"/>
      <c r="E72" s="143"/>
      <c r="F72" s="518"/>
      <c r="G72" s="519"/>
      <c r="H72" s="519"/>
      <c r="I72" s="519"/>
      <c r="J72" s="520"/>
      <c r="K72" s="504"/>
      <c r="L72" s="504"/>
      <c r="M72" s="51"/>
      <c r="N72" s="515"/>
      <c r="O72" s="515"/>
      <c r="P72" s="516"/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/>
      <c r="D73" s="140"/>
      <c r="E73" s="143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/>
      <c r="D74" s="140"/>
      <c r="E74" s="143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/>
      <c r="D75" s="140"/>
      <c r="E75" s="143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/>
      <c r="D76" s="140"/>
      <c r="E76" s="143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140"/>
      <c r="E77" s="143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140"/>
      <c r="E78" s="143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140"/>
      <c r="E79" s="143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219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142" t="s">
        <v>2</v>
      </c>
      <c r="D81" s="142" t="s">
        <v>37</v>
      </c>
      <c r="E81" s="142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141"/>
      <c r="D82" s="141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140"/>
      <c r="D83" s="140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1">A83+1</f>
        <v>3</v>
      </c>
      <c r="B84" s="472"/>
      <c r="C84" s="140"/>
      <c r="D84" s="140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1"/>
        <v>4</v>
      </c>
      <c r="B85" s="472"/>
      <c r="C85" s="140"/>
      <c r="D85" s="140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1"/>
        <v>5</v>
      </c>
      <c r="B86" s="472"/>
      <c r="C86" s="140"/>
      <c r="D86" s="140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1"/>
        <v>6</v>
      </c>
      <c r="B87" s="472"/>
      <c r="C87" s="140"/>
      <c r="D87" s="140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1"/>
        <v>7</v>
      </c>
      <c r="B88" s="472"/>
      <c r="C88" s="140"/>
      <c r="D88" s="140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220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 t="s">
        <v>129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6" fitToHeight="2" orientation="landscape" r:id="rId1"/>
  <rowBreaks count="1" manualBreakCount="1">
    <brk id="53" max="29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011B-C5B1-4978-B6F3-37F7BED4CBDC}">
  <sheetPr>
    <pageSetUpPr fitToPage="1"/>
  </sheetPr>
  <dimension ref="A1:AF93"/>
  <sheetViews>
    <sheetView view="pageBreakPreview" zoomScale="70" zoomScaleNormal="72" zoomScaleSheetLayoutView="70" workbookViewId="0">
      <selection activeCell="Y13" sqref="Y1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502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367" t="s">
        <v>17</v>
      </c>
      <c r="L5" s="367" t="s">
        <v>18</v>
      </c>
      <c r="M5" s="367" t="s">
        <v>19</v>
      </c>
      <c r="N5" s="367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476</v>
      </c>
      <c r="C6" s="34" t="s">
        <v>112</v>
      </c>
      <c r="D6" s="52" t="s">
        <v>475</v>
      </c>
      <c r="E6" s="53" t="s">
        <v>454</v>
      </c>
      <c r="F6" s="30" t="s">
        <v>141</v>
      </c>
      <c r="G6" s="12">
        <v>1</v>
      </c>
      <c r="H6" s="13">
        <v>24</v>
      </c>
      <c r="I6" s="31">
        <v>150</v>
      </c>
      <c r="J6" s="14">
        <v>150</v>
      </c>
      <c r="K6" s="15">
        <f>L6+150</f>
        <v>150</v>
      </c>
      <c r="L6" s="15"/>
      <c r="M6" s="15">
        <f t="shared" ref="M6:M27" si="0">L6-N6</f>
        <v>0</v>
      </c>
      <c r="N6" s="15">
        <v>0</v>
      </c>
      <c r="O6" s="58" t="str">
        <f t="shared" ref="O6:O28" si="1">IF(L6=0,"0",N6/L6)</f>
        <v>0</v>
      </c>
      <c r="P6" s="39" t="str">
        <f t="shared" ref="P6:P27" si="2">IF(L6=0,"0",(24-Q6))</f>
        <v>0</v>
      </c>
      <c r="Q6" s="40">
        <f t="shared" ref="Q6:Q27" si="3">SUM(R6:AA6)</f>
        <v>24</v>
      </c>
      <c r="R6" s="7"/>
      <c r="S6" s="6"/>
      <c r="T6" s="16"/>
      <c r="U6" s="16"/>
      <c r="V6" s="17"/>
      <c r="W6" s="5"/>
      <c r="X6" s="16"/>
      <c r="Y6" s="16"/>
      <c r="Z6" s="16"/>
      <c r="AA6" s="18">
        <v>24</v>
      </c>
      <c r="AB6" s="8">
        <f t="shared" ref="AB6:AB27" si="4">IF(J6=0,"0",(L6/J6))</f>
        <v>0</v>
      </c>
      <c r="AC6" s="9">
        <f t="shared" ref="AC6:AC27" si="5">IF(P6=0,"0",(P6/24))</f>
        <v>0</v>
      </c>
      <c r="AD6" s="10">
        <f t="shared" ref="AD6:AD27" si="6">AC6*AB6*(1-O6)</f>
        <v>0</v>
      </c>
      <c r="AE6" s="36">
        <f t="shared" ref="AE6:AE27" si="7">$AD$28</f>
        <v>0.19318181818181818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180000</v>
      </c>
      <c r="J7" s="14">
        <v>2780</v>
      </c>
      <c r="K7" s="15">
        <f>L7+4540+5413+4776+3810+3773</f>
        <v>25092</v>
      </c>
      <c r="L7" s="15">
        <v>2780</v>
      </c>
      <c r="M7" s="15">
        <f t="shared" si="0"/>
        <v>2780</v>
      </c>
      <c r="N7" s="15">
        <v>0</v>
      </c>
      <c r="O7" s="58">
        <f t="shared" si="1"/>
        <v>0</v>
      </c>
      <c r="P7" s="39">
        <f t="shared" si="2"/>
        <v>11</v>
      </c>
      <c r="Q7" s="40">
        <f t="shared" si="3"/>
        <v>13</v>
      </c>
      <c r="R7" s="7"/>
      <c r="S7" s="6"/>
      <c r="T7" s="16"/>
      <c r="U7" s="16"/>
      <c r="V7" s="17">
        <v>13</v>
      </c>
      <c r="W7" s="5"/>
      <c r="X7" s="16"/>
      <c r="Y7" s="16"/>
      <c r="Z7" s="16"/>
      <c r="AA7" s="18"/>
      <c r="AB7" s="8">
        <f t="shared" si="4"/>
        <v>1</v>
      </c>
      <c r="AC7" s="9">
        <f t="shared" si="5"/>
        <v>0.45833333333333331</v>
      </c>
      <c r="AD7" s="10">
        <f t="shared" si="6"/>
        <v>0.45833333333333331</v>
      </c>
      <c r="AE7" s="36">
        <f t="shared" si="7"/>
        <v>0.19318181818181818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180000</v>
      </c>
      <c r="J8" s="14">
        <v>5182</v>
      </c>
      <c r="K8" s="15">
        <f>L8+8132+2262+5886+10522+11854+11762+11766+11818+11592+5898+11758+11820+11712+11856+11816</f>
        <v>155636</v>
      </c>
      <c r="L8" s="15">
        <f>2591*2</f>
        <v>5182</v>
      </c>
      <c r="M8" s="15">
        <f t="shared" si="0"/>
        <v>5182</v>
      </c>
      <c r="N8" s="15">
        <v>0</v>
      </c>
      <c r="O8" s="58">
        <f t="shared" si="1"/>
        <v>0</v>
      </c>
      <c r="P8" s="39">
        <f t="shared" si="2"/>
        <v>11</v>
      </c>
      <c r="Q8" s="40">
        <f t="shared" si="3"/>
        <v>13</v>
      </c>
      <c r="R8" s="7"/>
      <c r="S8" s="6"/>
      <c r="T8" s="16"/>
      <c r="U8" s="16"/>
      <c r="V8" s="17">
        <v>13</v>
      </c>
      <c r="W8" s="5"/>
      <c r="X8" s="16"/>
      <c r="Y8" s="16"/>
      <c r="Z8" s="16"/>
      <c r="AA8" s="18"/>
      <c r="AB8" s="8">
        <f t="shared" si="4"/>
        <v>1</v>
      </c>
      <c r="AC8" s="9">
        <f t="shared" si="5"/>
        <v>0.45833333333333331</v>
      </c>
      <c r="AD8" s="10">
        <f t="shared" si="6"/>
        <v>0.45833333333333331</v>
      </c>
      <c r="AE8" s="36">
        <f t="shared" si="7"/>
        <v>0.19318181818181818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180000</v>
      </c>
      <c r="J9" s="14">
        <v>5222</v>
      </c>
      <c r="K9" s="15">
        <f>L9+10280+10788+10818+10814+11584+6366+11696+11770+11638+11800+8836</f>
        <v>121612</v>
      </c>
      <c r="L9" s="15">
        <f>2611*2</f>
        <v>5222</v>
      </c>
      <c r="M9" s="15">
        <f t="shared" si="0"/>
        <v>5222</v>
      </c>
      <c r="N9" s="15">
        <v>0</v>
      </c>
      <c r="O9" s="58">
        <f t="shared" si="1"/>
        <v>0</v>
      </c>
      <c r="P9" s="39">
        <f t="shared" si="2"/>
        <v>11</v>
      </c>
      <c r="Q9" s="40">
        <f t="shared" si="3"/>
        <v>13</v>
      </c>
      <c r="R9" s="7"/>
      <c r="S9" s="6"/>
      <c r="T9" s="16"/>
      <c r="U9" s="16"/>
      <c r="V9" s="17">
        <v>13</v>
      </c>
      <c r="W9" s="5"/>
      <c r="X9" s="16"/>
      <c r="Y9" s="16"/>
      <c r="Z9" s="16"/>
      <c r="AA9" s="18"/>
      <c r="AB9" s="8">
        <f t="shared" si="4"/>
        <v>1</v>
      </c>
      <c r="AC9" s="9">
        <f t="shared" si="5"/>
        <v>0.45833333333333331</v>
      </c>
      <c r="AD9" s="10">
        <f t="shared" si="6"/>
        <v>0.45833333333333331</v>
      </c>
      <c r="AE9" s="36">
        <f t="shared" si="7"/>
        <v>0.19318181818181818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112</v>
      </c>
      <c r="D10" s="52" t="s">
        <v>123</v>
      </c>
      <c r="E10" s="53" t="s">
        <v>266</v>
      </c>
      <c r="F10" s="30" t="s">
        <v>128</v>
      </c>
      <c r="G10" s="33">
        <v>1</v>
      </c>
      <c r="H10" s="35">
        <v>24</v>
      </c>
      <c r="I10" s="7">
        <v>22000</v>
      </c>
      <c r="J10" s="14">
        <v>2699</v>
      </c>
      <c r="K10" s="15">
        <f>L10+4028+5980</f>
        <v>12707</v>
      </c>
      <c r="L10" s="15">
        <v>2699</v>
      </c>
      <c r="M10" s="15">
        <f t="shared" si="0"/>
        <v>2699</v>
      </c>
      <c r="N10" s="15">
        <v>0</v>
      </c>
      <c r="O10" s="58">
        <f t="shared" si="1"/>
        <v>0</v>
      </c>
      <c r="P10" s="39">
        <f t="shared" si="2"/>
        <v>11</v>
      </c>
      <c r="Q10" s="40">
        <f t="shared" si="3"/>
        <v>13</v>
      </c>
      <c r="R10" s="7"/>
      <c r="S10" s="6"/>
      <c r="T10" s="16"/>
      <c r="U10" s="16"/>
      <c r="V10" s="17">
        <v>13</v>
      </c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0.45833333333333331</v>
      </c>
      <c r="AD10" s="10">
        <f t="shared" si="6"/>
        <v>0.45833333333333331</v>
      </c>
      <c r="AE10" s="36">
        <f t="shared" si="7"/>
        <v>0.19318181818181818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123</v>
      </c>
      <c r="E11" s="53" t="s">
        <v>468</v>
      </c>
      <c r="F11" s="30" t="s">
        <v>128</v>
      </c>
      <c r="G11" s="33">
        <v>1</v>
      </c>
      <c r="H11" s="35">
        <v>24</v>
      </c>
      <c r="I11" s="7">
        <v>10000</v>
      </c>
      <c r="J11" s="14">
        <v>2878</v>
      </c>
      <c r="K11" s="15">
        <f>L11+3886+6407</f>
        <v>13171</v>
      </c>
      <c r="L11" s="15">
        <v>2878</v>
      </c>
      <c r="M11" s="15">
        <f t="shared" si="0"/>
        <v>2878</v>
      </c>
      <c r="N11" s="15">
        <v>0</v>
      </c>
      <c r="O11" s="58">
        <f t="shared" si="1"/>
        <v>0</v>
      </c>
      <c r="P11" s="39">
        <f t="shared" si="2"/>
        <v>11</v>
      </c>
      <c r="Q11" s="40">
        <f t="shared" si="3"/>
        <v>13</v>
      </c>
      <c r="R11" s="7"/>
      <c r="S11" s="6"/>
      <c r="T11" s="16"/>
      <c r="U11" s="16"/>
      <c r="V11" s="17">
        <v>13</v>
      </c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0.45833333333333331</v>
      </c>
      <c r="AD11" s="10">
        <f t="shared" si="6"/>
        <v>0.45833333333333331</v>
      </c>
      <c r="AE11" s="36">
        <f t="shared" si="7"/>
        <v>0.19318181818181818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138</v>
      </c>
      <c r="D12" s="52" t="s">
        <v>115</v>
      </c>
      <c r="E12" s="53" t="s">
        <v>381</v>
      </c>
      <c r="F12" s="30" t="s">
        <v>139</v>
      </c>
      <c r="G12" s="12">
        <v>2</v>
      </c>
      <c r="H12" s="13">
        <v>22</v>
      </c>
      <c r="I12" s="31">
        <v>20000</v>
      </c>
      <c r="J12" s="5">
        <v>1736</v>
      </c>
      <c r="K12" s="15">
        <f>L12+8174+10376+1736</f>
        <v>20286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/>
      <c r="X12" s="16"/>
      <c r="Y12" s="16"/>
      <c r="Z12" s="16"/>
      <c r="AA12" s="18">
        <v>24</v>
      </c>
      <c r="AB12" s="8">
        <f t="shared" si="4"/>
        <v>0</v>
      </c>
      <c r="AC12" s="9">
        <f t="shared" si="5"/>
        <v>0</v>
      </c>
      <c r="AD12" s="10">
        <f t="shared" si="6"/>
        <v>0</v>
      </c>
      <c r="AE12" s="36">
        <f t="shared" si="7"/>
        <v>0.19318181818181818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123</v>
      </c>
      <c r="E13" s="53" t="s">
        <v>179</v>
      </c>
      <c r="F13" s="30" t="s">
        <v>128</v>
      </c>
      <c r="G13" s="33">
        <v>2</v>
      </c>
      <c r="H13" s="35">
        <v>35</v>
      </c>
      <c r="I13" s="7">
        <v>190000</v>
      </c>
      <c r="J13" s="14">
        <v>5438</v>
      </c>
      <c r="K13" s="15">
        <f>L13+6644+12322+12086+12660+12576+12284+12314+12182+11830+12272+12308+9086+11062+12174</f>
        <v>167238</v>
      </c>
      <c r="L13" s="15">
        <f>2719*2</f>
        <v>5438</v>
      </c>
      <c r="M13" s="15">
        <f t="shared" si="0"/>
        <v>5438</v>
      </c>
      <c r="N13" s="15">
        <v>0</v>
      </c>
      <c r="O13" s="58">
        <f t="shared" si="1"/>
        <v>0</v>
      </c>
      <c r="P13" s="39">
        <f t="shared" si="2"/>
        <v>11</v>
      </c>
      <c r="Q13" s="40">
        <f t="shared" si="3"/>
        <v>13</v>
      </c>
      <c r="R13" s="7"/>
      <c r="S13" s="6"/>
      <c r="T13" s="16"/>
      <c r="U13" s="16"/>
      <c r="V13" s="17">
        <v>13</v>
      </c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0.45833333333333331</v>
      </c>
      <c r="AD13" s="10">
        <f t="shared" si="6"/>
        <v>0.45833333333333331</v>
      </c>
      <c r="AE13" s="36">
        <f t="shared" si="7"/>
        <v>0.19318181818181818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232</v>
      </c>
      <c r="D14" s="52" t="s">
        <v>477</v>
      </c>
      <c r="E14" s="53" t="s">
        <v>469</v>
      </c>
      <c r="F14" s="30" t="s">
        <v>171</v>
      </c>
      <c r="G14" s="33">
        <v>1</v>
      </c>
      <c r="H14" s="35">
        <v>50</v>
      </c>
      <c r="I14" s="7">
        <v>700</v>
      </c>
      <c r="J14" s="5">
        <v>750</v>
      </c>
      <c r="K14" s="15">
        <f>L14+750</f>
        <v>750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0.19318181818181818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12000</v>
      </c>
      <c r="J15" s="14">
        <v>12356</v>
      </c>
      <c r="K15" s="15">
        <f>L15+12356</f>
        <v>12356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0.19318181818181818</v>
      </c>
      <c r="AF15" s="84">
        <f t="shared" si="8"/>
        <v>10</v>
      </c>
    </row>
    <row r="16" spans="1:32" ht="27" customHeight="1">
      <c r="A16" s="112">
        <v>11</v>
      </c>
      <c r="B16" s="11" t="s">
        <v>57</v>
      </c>
      <c r="C16" s="34" t="s">
        <v>112</v>
      </c>
      <c r="D16" s="52" t="s">
        <v>137</v>
      </c>
      <c r="E16" s="53" t="s">
        <v>433</v>
      </c>
      <c r="F16" s="30" t="s">
        <v>140</v>
      </c>
      <c r="G16" s="12">
        <v>1</v>
      </c>
      <c r="H16" s="13">
        <v>24</v>
      </c>
      <c r="I16" s="7">
        <v>22000</v>
      </c>
      <c r="J16" s="14">
        <v>2411</v>
      </c>
      <c r="K16" s="15">
        <f>L16+4843+5487+5445</f>
        <v>18186</v>
      </c>
      <c r="L16" s="15">
        <v>2411</v>
      </c>
      <c r="M16" s="15">
        <f t="shared" si="0"/>
        <v>2411</v>
      </c>
      <c r="N16" s="15">
        <v>0</v>
      </c>
      <c r="O16" s="58">
        <f t="shared" si="1"/>
        <v>0</v>
      </c>
      <c r="P16" s="39">
        <f t="shared" si="2"/>
        <v>11</v>
      </c>
      <c r="Q16" s="40">
        <f t="shared" si="3"/>
        <v>13</v>
      </c>
      <c r="R16" s="7"/>
      <c r="S16" s="6"/>
      <c r="T16" s="16"/>
      <c r="U16" s="16"/>
      <c r="V16" s="17">
        <v>13</v>
      </c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0.45833333333333331</v>
      </c>
      <c r="AD16" s="10">
        <f t="shared" si="6"/>
        <v>0.45833333333333331</v>
      </c>
      <c r="AE16" s="36">
        <f t="shared" si="7"/>
        <v>0.19318181818181818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138</v>
      </c>
      <c r="D17" s="52" t="s">
        <v>462</v>
      </c>
      <c r="E17" s="53" t="s">
        <v>483</v>
      </c>
      <c r="F17" s="30" t="s">
        <v>461</v>
      </c>
      <c r="G17" s="12">
        <v>1</v>
      </c>
      <c r="H17" s="13">
        <v>24</v>
      </c>
      <c r="I17" s="7">
        <v>8000</v>
      </c>
      <c r="J17" s="14">
        <v>2538</v>
      </c>
      <c r="K17" s="15">
        <f>L17+3862</f>
        <v>6400</v>
      </c>
      <c r="L17" s="15">
        <v>2538</v>
      </c>
      <c r="M17" s="15">
        <f t="shared" si="0"/>
        <v>2538</v>
      </c>
      <c r="N17" s="15">
        <v>0</v>
      </c>
      <c r="O17" s="58">
        <f t="shared" si="1"/>
        <v>0</v>
      </c>
      <c r="P17" s="39">
        <f t="shared" si="2"/>
        <v>11</v>
      </c>
      <c r="Q17" s="40">
        <f t="shared" si="3"/>
        <v>13</v>
      </c>
      <c r="R17" s="7"/>
      <c r="S17" s="6"/>
      <c r="T17" s="16"/>
      <c r="U17" s="16"/>
      <c r="V17" s="17">
        <v>13</v>
      </c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0.45833333333333331</v>
      </c>
      <c r="AD17" s="10">
        <f t="shared" si="6"/>
        <v>0.45833333333333331</v>
      </c>
      <c r="AE17" s="36">
        <f t="shared" si="7"/>
        <v>0.19318181818181818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137</v>
      </c>
      <c r="E18" s="53" t="s">
        <v>191</v>
      </c>
      <c r="F18" s="30" t="s">
        <v>130</v>
      </c>
      <c r="G18" s="33">
        <v>1</v>
      </c>
      <c r="H18" s="35">
        <v>24</v>
      </c>
      <c r="I18" s="7">
        <v>180000</v>
      </c>
      <c r="J18" s="14">
        <v>2660</v>
      </c>
      <c r="K18" s="15">
        <f>L18+9952+11100+11616+11336+11468+11654+10384+11002+11590+11484+11300+9654+6186+11446+8364+11404+11256+4434</f>
        <v>188290</v>
      </c>
      <c r="L18" s="15">
        <f>1330*2</f>
        <v>2660</v>
      </c>
      <c r="M18" s="15">
        <f t="shared" si="0"/>
        <v>2660</v>
      </c>
      <c r="N18" s="15">
        <v>0</v>
      </c>
      <c r="O18" s="58">
        <f t="shared" si="1"/>
        <v>0</v>
      </c>
      <c r="P18" s="39">
        <f t="shared" si="2"/>
        <v>9</v>
      </c>
      <c r="Q18" s="40">
        <f t="shared" si="3"/>
        <v>15</v>
      </c>
      <c r="R18" s="7"/>
      <c r="S18" s="6">
        <v>2</v>
      </c>
      <c r="T18" s="16"/>
      <c r="U18" s="16"/>
      <c r="V18" s="17">
        <v>13</v>
      </c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0.375</v>
      </c>
      <c r="AD18" s="10">
        <f t="shared" si="6"/>
        <v>0.375</v>
      </c>
      <c r="AE18" s="36">
        <f t="shared" si="7"/>
        <v>0.19318181818181818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112</v>
      </c>
      <c r="D19" s="52" t="s">
        <v>123</v>
      </c>
      <c r="E19" s="53" t="s">
        <v>496</v>
      </c>
      <c r="F19" s="30" t="s">
        <v>171</v>
      </c>
      <c r="G19" s="33">
        <v>1</v>
      </c>
      <c r="H19" s="35">
        <v>24</v>
      </c>
      <c r="I19" s="7">
        <v>200</v>
      </c>
      <c r="J19" s="14">
        <v>5077</v>
      </c>
      <c r="K19" s="15">
        <f>L19</f>
        <v>0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>
        <v>24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 t="shared" si="6"/>
        <v>0</v>
      </c>
      <c r="AE19" s="36">
        <f t="shared" si="7"/>
        <v>0.19318181818181818</v>
      </c>
      <c r="AF19" s="84">
        <f t="shared" si="8"/>
        <v>14</v>
      </c>
    </row>
    <row r="20" spans="1:32" ht="27" customHeight="1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206</v>
      </c>
      <c r="G20" s="12">
        <v>1</v>
      </c>
      <c r="H20" s="13">
        <v>24</v>
      </c>
      <c r="I20" s="7">
        <v>230000</v>
      </c>
      <c r="J20" s="14">
        <v>308</v>
      </c>
      <c r="K20" s="15">
        <f>L20+7008+11154+9077+8768+10676+10588+2521+7242+10236+10216+10614+10620+10632+10760+10206+10892+10136+10692+10896+9992+10630+10894+7459+6981+3140+4342</f>
        <v>236680</v>
      </c>
      <c r="L20" s="15">
        <v>308</v>
      </c>
      <c r="M20" s="15">
        <f t="shared" si="0"/>
        <v>308</v>
      </c>
      <c r="N20" s="15">
        <v>0</v>
      </c>
      <c r="O20" s="58">
        <f t="shared" si="1"/>
        <v>0</v>
      </c>
      <c r="P20" s="39">
        <f t="shared" si="2"/>
        <v>5</v>
      </c>
      <c r="Q20" s="40">
        <f t="shared" si="3"/>
        <v>19</v>
      </c>
      <c r="R20" s="7"/>
      <c r="S20" s="6">
        <v>6</v>
      </c>
      <c r="T20" s="16"/>
      <c r="U20" s="16"/>
      <c r="V20" s="17">
        <v>13</v>
      </c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0.20833333333333334</v>
      </c>
      <c r="AD20" s="10">
        <f t="shared" si="6"/>
        <v>0.20833333333333334</v>
      </c>
      <c r="AE20" s="36">
        <f t="shared" si="7"/>
        <v>0.19318181818181818</v>
      </c>
      <c r="AF20" s="84">
        <f t="shared" si="8"/>
        <v>15</v>
      </c>
    </row>
    <row r="21" spans="1:32" ht="26.25" customHeight="1">
      <c r="A21" s="96">
        <v>16</v>
      </c>
      <c r="B21" s="11" t="s">
        <v>57</v>
      </c>
      <c r="C21" s="11" t="s">
        <v>113</v>
      </c>
      <c r="D21" s="52"/>
      <c r="E21" s="53" t="s">
        <v>299</v>
      </c>
      <c r="F21" s="12" t="s">
        <v>114</v>
      </c>
      <c r="G21" s="12">
        <v>3</v>
      </c>
      <c r="H21" s="35">
        <v>20</v>
      </c>
      <c r="I21" s="7">
        <v>1000000</v>
      </c>
      <c r="J21" s="14">
        <v>4328</v>
      </c>
      <c r="K21" s="15">
        <f>L21+56500+55900+61924+62232+61132+62396+4328</f>
        <v>364412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0.19318181818181818</v>
      </c>
      <c r="AF21" s="84">
        <f t="shared" si="8"/>
        <v>16</v>
      </c>
    </row>
    <row r="22" spans="1:32" ht="18.75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0.19318181818181818</v>
      </c>
      <c r="AF22" s="84">
        <f t="shared" si="8"/>
        <v>31</v>
      </c>
    </row>
    <row r="23" spans="1:32" ht="18.75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0.19318181818181818</v>
      </c>
      <c r="AF23" s="84">
        <f t="shared" si="8"/>
        <v>32</v>
      </c>
    </row>
    <row r="24" spans="1:32" ht="18.75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3244</v>
      </c>
      <c r="K24" s="15">
        <f>L24+4387+7770+5806+7905+7479+7369+7360+2397+6904+7208+7013+6976+6992+2652+6495+7026+7051+7084+4297+6519+7042+3244</f>
        <v>136976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20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0.19318181818181818</v>
      </c>
      <c r="AF24" s="84">
        <f t="shared" si="8"/>
        <v>33</v>
      </c>
    </row>
    <row r="25" spans="1:32" ht="28.5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0.19318181818181818</v>
      </c>
      <c r="AF25" s="84">
        <f t="shared" si="8"/>
        <v>34</v>
      </c>
    </row>
    <row r="26" spans="1:32" ht="28.5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0.19318181818181818</v>
      </c>
      <c r="AF26" s="84">
        <f t="shared" si="8"/>
        <v>35</v>
      </c>
    </row>
    <row r="27" spans="1:32" ht="19.5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1300000</v>
      </c>
      <c r="J27" s="14">
        <v>199470</v>
      </c>
      <c r="K27" s="15">
        <f>L27+356070+486150+492600+465600+199470</f>
        <v>1999890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15</v>
      </c>
      <c r="R27" s="7"/>
      <c r="S27" s="6"/>
      <c r="T27" s="16"/>
      <c r="U27" s="16"/>
      <c r="V27" s="120"/>
      <c r="W27" s="5">
        <v>15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0.19318181818181818</v>
      </c>
      <c r="AF27" s="84">
        <f t="shared" si="8"/>
        <v>36</v>
      </c>
    </row>
    <row r="28" spans="1:32" ht="19.5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9">SUM(I6:I27)</f>
        <v>4155050</v>
      </c>
      <c r="J28" s="19">
        <f t="shared" si="9"/>
        <v>280815</v>
      </c>
      <c r="K28" s="20">
        <f t="shared" si="9"/>
        <v>4019476</v>
      </c>
      <c r="L28" s="21">
        <f t="shared" si="9"/>
        <v>32116</v>
      </c>
      <c r="M28" s="20">
        <f t="shared" si="9"/>
        <v>32116</v>
      </c>
      <c r="N28" s="21">
        <f t="shared" si="9"/>
        <v>0</v>
      </c>
      <c r="O28" s="41">
        <f t="shared" si="1"/>
        <v>0</v>
      </c>
      <c r="P28" s="42">
        <f t="shared" ref="P28:AA28" si="10">SUM(P6:P27)</f>
        <v>102</v>
      </c>
      <c r="Q28" s="43">
        <f t="shared" si="10"/>
        <v>417</v>
      </c>
      <c r="R28" s="23">
        <f t="shared" si="10"/>
        <v>0</v>
      </c>
      <c r="S28" s="24">
        <f t="shared" si="10"/>
        <v>32</v>
      </c>
      <c r="T28" s="24">
        <f t="shared" si="10"/>
        <v>0</v>
      </c>
      <c r="U28" s="24">
        <f t="shared" si="10"/>
        <v>0</v>
      </c>
      <c r="V28" s="25">
        <f t="shared" si="10"/>
        <v>202</v>
      </c>
      <c r="W28" s="26">
        <f t="shared" si="10"/>
        <v>135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48</v>
      </c>
      <c r="AB28" s="28">
        <f>AVERAGE(AB6:AB27)</f>
        <v>0.5</v>
      </c>
      <c r="AC28" s="4">
        <f>AVERAGE(AC6:AC27)</f>
        <v>0.19318181818181818</v>
      </c>
      <c r="AD28" s="4">
        <f>AVERAGE(AD6:AD27)</f>
        <v>0.19318181818181818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503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506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366" t="s">
        <v>46</v>
      </c>
      <c r="D57" s="366" t="s">
        <v>47</v>
      </c>
      <c r="E57" s="366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366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43" t="s">
        <v>112</v>
      </c>
      <c r="B58" s="533"/>
      <c r="C58" s="369" t="s">
        <v>346</v>
      </c>
      <c r="D58" s="369" t="s">
        <v>115</v>
      </c>
      <c r="E58" s="369" t="s">
        <v>178</v>
      </c>
      <c r="F58" s="530" t="s">
        <v>504</v>
      </c>
      <c r="G58" s="531"/>
      <c r="H58" s="531"/>
      <c r="I58" s="531"/>
      <c r="J58" s="531"/>
      <c r="K58" s="531"/>
      <c r="L58" s="531"/>
      <c r="M58" s="532"/>
      <c r="N58" s="368" t="s">
        <v>112</v>
      </c>
      <c r="O58" s="370" t="s">
        <v>161</v>
      </c>
      <c r="P58" s="544" t="s">
        <v>135</v>
      </c>
      <c r="Q58" s="545"/>
      <c r="R58" s="544" t="s">
        <v>496</v>
      </c>
      <c r="S58" s="546"/>
      <c r="T58" s="546"/>
      <c r="U58" s="545"/>
      <c r="V58" s="517" t="s">
        <v>120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43" t="s">
        <v>112</v>
      </c>
      <c r="B59" s="533"/>
      <c r="C59" s="369" t="s">
        <v>167</v>
      </c>
      <c r="D59" s="369" t="s">
        <v>137</v>
      </c>
      <c r="E59" s="369" t="s">
        <v>191</v>
      </c>
      <c r="F59" s="530" t="s">
        <v>120</v>
      </c>
      <c r="G59" s="531"/>
      <c r="H59" s="531"/>
      <c r="I59" s="531"/>
      <c r="J59" s="531"/>
      <c r="K59" s="531"/>
      <c r="L59" s="531"/>
      <c r="M59" s="532"/>
      <c r="N59" s="365" t="s">
        <v>509</v>
      </c>
      <c r="O59" s="359" t="s">
        <v>510</v>
      </c>
      <c r="P59" s="544" t="s">
        <v>511</v>
      </c>
      <c r="Q59" s="545"/>
      <c r="R59" s="544" t="s">
        <v>507</v>
      </c>
      <c r="S59" s="546"/>
      <c r="T59" s="546"/>
      <c r="U59" s="545"/>
      <c r="V59" s="517" t="s">
        <v>508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112</v>
      </c>
      <c r="B60" s="533"/>
      <c r="C60" s="362" t="s">
        <v>161</v>
      </c>
      <c r="D60" s="362" t="s">
        <v>135</v>
      </c>
      <c r="E60" s="362" t="s">
        <v>496</v>
      </c>
      <c r="F60" s="530" t="s">
        <v>505</v>
      </c>
      <c r="G60" s="531"/>
      <c r="H60" s="531"/>
      <c r="I60" s="531"/>
      <c r="J60" s="531"/>
      <c r="K60" s="531"/>
      <c r="L60" s="531"/>
      <c r="M60" s="532"/>
      <c r="N60" s="365" t="s">
        <v>514</v>
      </c>
      <c r="O60" s="359" t="s">
        <v>515</v>
      </c>
      <c r="P60" s="544"/>
      <c r="Q60" s="545"/>
      <c r="R60" s="544" t="s">
        <v>512</v>
      </c>
      <c r="S60" s="546"/>
      <c r="T60" s="546"/>
      <c r="U60" s="545"/>
      <c r="V60" s="517" t="s">
        <v>513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/>
      <c r="B61" s="533"/>
      <c r="C61" s="362"/>
      <c r="D61" s="362"/>
      <c r="E61" s="362"/>
      <c r="F61" s="530"/>
      <c r="G61" s="531"/>
      <c r="H61" s="531"/>
      <c r="I61" s="531"/>
      <c r="J61" s="531"/>
      <c r="K61" s="531"/>
      <c r="L61" s="531"/>
      <c r="M61" s="532"/>
      <c r="N61" s="365"/>
      <c r="O61" s="359"/>
      <c r="P61" s="544"/>
      <c r="Q61" s="545"/>
      <c r="R61" s="544"/>
      <c r="S61" s="546"/>
      <c r="T61" s="546"/>
      <c r="U61" s="545"/>
      <c r="V61" s="517"/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/>
      <c r="B62" s="533"/>
      <c r="C62" s="362"/>
      <c r="D62" s="362"/>
      <c r="E62" s="362"/>
      <c r="F62" s="530"/>
      <c r="G62" s="531"/>
      <c r="H62" s="531"/>
      <c r="I62" s="531"/>
      <c r="J62" s="531"/>
      <c r="K62" s="531"/>
      <c r="L62" s="531"/>
      <c r="M62" s="532"/>
      <c r="N62" s="365"/>
      <c r="O62" s="359"/>
      <c r="P62" s="544"/>
      <c r="Q62" s="545"/>
      <c r="R62" s="544"/>
      <c r="S62" s="546"/>
      <c r="T62" s="546"/>
      <c r="U62" s="545"/>
      <c r="V62" s="517"/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/>
      <c r="B63" s="533"/>
      <c r="C63" s="362"/>
      <c r="D63" s="362"/>
      <c r="E63" s="362"/>
      <c r="F63" s="530"/>
      <c r="G63" s="531"/>
      <c r="H63" s="531"/>
      <c r="I63" s="531"/>
      <c r="J63" s="531"/>
      <c r="K63" s="531"/>
      <c r="L63" s="531"/>
      <c r="M63" s="532"/>
      <c r="N63" s="365"/>
      <c r="O63" s="359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362"/>
      <c r="D64" s="362"/>
      <c r="E64" s="362"/>
      <c r="F64" s="530"/>
      <c r="G64" s="531"/>
      <c r="H64" s="531"/>
      <c r="I64" s="531"/>
      <c r="J64" s="531"/>
      <c r="K64" s="531"/>
      <c r="L64" s="531"/>
      <c r="M64" s="532"/>
      <c r="N64" s="365"/>
      <c r="O64" s="359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361"/>
      <c r="D65" s="361"/>
      <c r="E65" s="362"/>
      <c r="F65" s="530"/>
      <c r="G65" s="531"/>
      <c r="H65" s="531"/>
      <c r="I65" s="531"/>
      <c r="J65" s="531"/>
      <c r="K65" s="531"/>
      <c r="L65" s="531"/>
      <c r="M65" s="532"/>
      <c r="N65" s="365"/>
      <c r="O65" s="359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361"/>
      <c r="D66" s="361"/>
      <c r="E66" s="362"/>
      <c r="F66" s="530"/>
      <c r="G66" s="531"/>
      <c r="H66" s="531"/>
      <c r="I66" s="531"/>
      <c r="J66" s="531"/>
      <c r="K66" s="531"/>
      <c r="L66" s="531"/>
      <c r="M66" s="532"/>
      <c r="N66" s="365"/>
      <c r="O66" s="359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363"/>
      <c r="D67" s="364"/>
      <c r="E67" s="363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516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360" t="s">
        <v>2</v>
      </c>
      <c r="D69" s="360" t="s">
        <v>37</v>
      </c>
      <c r="E69" s="360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360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/>
      <c r="D70" s="355"/>
      <c r="E70" s="358"/>
      <c r="F70" s="518"/>
      <c r="G70" s="519"/>
      <c r="H70" s="519"/>
      <c r="I70" s="519"/>
      <c r="J70" s="520"/>
      <c r="K70" s="504"/>
      <c r="L70" s="504"/>
      <c r="M70" s="51"/>
      <c r="N70" s="515"/>
      <c r="O70" s="515"/>
      <c r="P70" s="516"/>
      <c r="Q70" s="516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/>
      <c r="D71" s="355"/>
      <c r="E71" s="358"/>
      <c r="F71" s="518"/>
      <c r="G71" s="519"/>
      <c r="H71" s="519"/>
      <c r="I71" s="519"/>
      <c r="J71" s="520"/>
      <c r="K71" s="504"/>
      <c r="L71" s="504"/>
      <c r="M71" s="51"/>
      <c r="N71" s="515"/>
      <c r="O71" s="515"/>
      <c r="P71" s="516"/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/>
      <c r="D72" s="355"/>
      <c r="E72" s="358"/>
      <c r="F72" s="518"/>
      <c r="G72" s="519"/>
      <c r="H72" s="519"/>
      <c r="I72" s="519"/>
      <c r="J72" s="520"/>
      <c r="K72" s="504"/>
      <c r="L72" s="504"/>
      <c r="M72" s="51"/>
      <c r="N72" s="515"/>
      <c r="O72" s="515"/>
      <c r="P72" s="516"/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/>
      <c r="D73" s="355"/>
      <c r="E73" s="358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/>
      <c r="D74" s="355"/>
      <c r="E74" s="358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/>
      <c r="D75" s="355"/>
      <c r="E75" s="358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/>
      <c r="D76" s="355"/>
      <c r="E76" s="358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355"/>
      <c r="E77" s="358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355"/>
      <c r="E78" s="358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355"/>
      <c r="E79" s="358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517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357" t="s">
        <v>2</v>
      </c>
      <c r="D81" s="357" t="s">
        <v>37</v>
      </c>
      <c r="E81" s="357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356"/>
      <c r="D82" s="356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355"/>
      <c r="D83" s="355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1">A83+1</f>
        <v>3</v>
      </c>
      <c r="B84" s="472"/>
      <c r="C84" s="355"/>
      <c r="D84" s="355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1"/>
        <v>4</v>
      </c>
      <c r="B85" s="472"/>
      <c r="C85" s="355"/>
      <c r="D85" s="355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1"/>
        <v>5</v>
      </c>
      <c r="B86" s="472"/>
      <c r="C86" s="355"/>
      <c r="D86" s="355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1"/>
        <v>6</v>
      </c>
      <c r="B87" s="472"/>
      <c r="C87" s="355"/>
      <c r="D87" s="355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1"/>
        <v>7</v>
      </c>
      <c r="B88" s="472"/>
      <c r="C88" s="355"/>
      <c r="D88" s="355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518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>
        <v>1900000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3" max="29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F683-3905-4417-8356-B9800D6F8696}">
  <sheetPr>
    <pageSetUpPr fitToPage="1"/>
  </sheetPr>
  <dimension ref="A1:AF93"/>
  <sheetViews>
    <sheetView view="pageBreakPreview" zoomScale="70" zoomScaleNormal="72" zoomScaleSheetLayoutView="70" workbookViewId="0">
      <selection activeCell="A90" sqref="A90:B9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519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383" t="s">
        <v>17</v>
      </c>
      <c r="L5" s="383" t="s">
        <v>18</v>
      </c>
      <c r="M5" s="383" t="s">
        <v>19</v>
      </c>
      <c r="N5" s="383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476</v>
      </c>
      <c r="C6" s="34" t="s">
        <v>112</v>
      </c>
      <c r="D6" s="52" t="s">
        <v>475</v>
      </c>
      <c r="E6" s="53" t="s">
        <v>454</v>
      </c>
      <c r="F6" s="30" t="s">
        <v>141</v>
      </c>
      <c r="G6" s="12">
        <v>1</v>
      </c>
      <c r="H6" s="13">
        <v>24</v>
      </c>
      <c r="I6" s="31">
        <v>150</v>
      </c>
      <c r="J6" s="14">
        <v>150</v>
      </c>
      <c r="K6" s="15">
        <f>L6+150</f>
        <v>150</v>
      </c>
      <c r="L6" s="15"/>
      <c r="M6" s="15">
        <f t="shared" ref="M6:M27" si="0">L6-N6</f>
        <v>0</v>
      </c>
      <c r="N6" s="15">
        <v>0</v>
      </c>
      <c r="O6" s="58" t="str">
        <f t="shared" ref="O6:O28" si="1">IF(L6=0,"0",N6/L6)</f>
        <v>0</v>
      </c>
      <c r="P6" s="39" t="str">
        <f t="shared" ref="P6:P27" si="2">IF(L6=0,"0",(24-Q6))</f>
        <v>0</v>
      </c>
      <c r="Q6" s="40">
        <f t="shared" ref="Q6:Q27" si="3">SUM(R6:AA6)</f>
        <v>24</v>
      </c>
      <c r="R6" s="7"/>
      <c r="S6" s="6"/>
      <c r="T6" s="16"/>
      <c r="U6" s="16"/>
      <c r="V6" s="17"/>
      <c r="W6" s="5"/>
      <c r="X6" s="16"/>
      <c r="Y6" s="16"/>
      <c r="Z6" s="16"/>
      <c r="AA6" s="18">
        <v>24</v>
      </c>
      <c r="AB6" s="8">
        <f t="shared" ref="AB6:AB27" si="4">IF(J6=0,"0",(L6/J6))</f>
        <v>0</v>
      </c>
      <c r="AC6" s="9">
        <f t="shared" ref="AC6:AC27" si="5">IF(P6=0,"0",(P6/24))</f>
        <v>0</v>
      </c>
      <c r="AD6" s="10">
        <f t="shared" ref="AD6:AD27" si="6">AC6*AB6*(1-O6)</f>
        <v>0</v>
      </c>
      <c r="AE6" s="36">
        <f t="shared" ref="AE6:AE27" si="7">$AD$28</f>
        <v>0.46969696969696972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180000</v>
      </c>
      <c r="J7" s="14">
        <v>4786</v>
      </c>
      <c r="K7" s="15">
        <f>L7+4540+5413+4776+3810+3773+2780</f>
        <v>29878</v>
      </c>
      <c r="L7" s="15">
        <f>1829+2957</f>
        <v>4786</v>
      </c>
      <c r="M7" s="15">
        <f t="shared" si="0"/>
        <v>4786</v>
      </c>
      <c r="N7" s="15">
        <v>0</v>
      </c>
      <c r="O7" s="58">
        <f t="shared" si="1"/>
        <v>0</v>
      </c>
      <c r="P7" s="39">
        <f t="shared" si="2"/>
        <v>21</v>
      </c>
      <c r="Q7" s="40">
        <f t="shared" si="3"/>
        <v>3</v>
      </c>
      <c r="R7" s="7"/>
      <c r="S7" s="6">
        <v>3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0.875</v>
      </c>
      <c r="AD7" s="10">
        <f t="shared" si="6"/>
        <v>0.875</v>
      </c>
      <c r="AE7" s="36">
        <f t="shared" si="7"/>
        <v>0.46969696969696972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180000</v>
      </c>
      <c r="J8" s="14">
        <v>6610</v>
      </c>
      <c r="K8" s="15">
        <f>L8+8132+2262+5886+10522+11854+11762+11766+11818+11592+5898+11758+11820+11712+11856+11816+5182</f>
        <v>162246</v>
      </c>
      <c r="L8" s="15">
        <f>3305*2</f>
        <v>6610</v>
      </c>
      <c r="M8" s="15">
        <f t="shared" si="0"/>
        <v>6610</v>
      </c>
      <c r="N8" s="15">
        <v>0</v>
      </c>
      <c r="O8" s="58">
        <f t="shared" si="1"/>
        <v>0</v>
      </c>
      <c r="P8" s="39">
        <f t="shared" si="2"/>
        <v>14</v>
      </c>
      <c r="Q8" s="40">
        <f t="shared" si="3"/>
        <v>10</v>
      </c>
      <c r="R8" s="7"/>
      <c r="S8" s="6">
        <v>10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0.58333333333333337</v>
      </c>
      <c r="AD8" s="10">
        <f t="shared" si="6"/>
        <v>0.58333333333333337</v>
      </c>
      <c r="AE8" s="36">
        <f t="shared" si="7"/>
        <v>0.46969696969696972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180000</v>
      </c>
      <c r="J9" s="14">
        <v>10904</v>
      </c>
      <c r="K9" s="15">
        <f>L9+10280+10788+10818+10814+11584+6366+11696+11770+11638+11800+8836+5222</f>
        <v>132516</v>
      </c>
      <c r="L9" s="15">
        <f>2596*2+2856*2</f>
        <v>10904</v>
      </c>
      <c r="M9" s="15">
        <f t="shared" si="0"/>
        <v>10904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0.46969696969696972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112</v>
      </c>
      <c r="D10" s="52" t="s">
        <v>123</v>
      </c>
      <c r="E10" s="53" t="s">
        <v>266</v>
      </c>
      <c r="F10" s="30" t="s">
        <v>128</v>
      </c>
      <c r="G10" s="33">
        <v>1</v>
      </c>
      <c r="H10" s="35">
        <v>24</v>
      </c>
      <c r="I10" s="7">
        <v>22000</v>
      </c>
      <c r="J10" s="14">
        <v>5664</v>
      </c>
      <c r="K10" s="15">
        <f>L10+4028+5980+2699</f>
        <v>18371</v>
      </c>
      <c r="L10" s="15">
        <f>2660+3004</f>
        <v>5664</v>
      </c>
      <c r="M10" s="15">
        <f t="shared" si="0"/>
        <v>5664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6"/>
        <v>1</v>
      </c>
      <c r="AE10" s="36">
        <f t="shared" si="7"/>
        <v>0.46969696969696972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123</v>
      </c>
      <c r="E11" s="53" t="s">
        <v>468</v>
      </c>
      <c r="F11" s="30" t="s">
        <v>128</v>
      </c>
      <c r="G11" s="33">
        <v>1</v>
      </c>
      <c r="H11" s="35">
        <v>24</v>
      </c>
      <c r="I11" s="7">
        <v>10000</v>
      </c>
      <c r="J11" s="14">
        <v>5873</v>
      </c>
      <c r="K11" s="15">
        <f>L11+3886+6407+2878</f>
        <v>19044</v>
      </c>
      <c r="L11" s="15">
        <f>2891+2982</f>
        <v>5873</v>
      </c>
      <c r="M11" s="15">
        <f t="shared" si="0"/>
        <v>5873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si="6"/>
        <v>1</v>
      </c>
      <c r="AE11" s="36">
        <f t="shared" si="7"/>
        <v>0.46969696969696972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138</v>
      </c>
      <c r="D12" s="52" t="s">
        <v>115</v>
      </c>
      <c r="E12" s="53" t="s">
        <v>381</v>
      </c>
      <c r="F12" s="30" t="s">
        <v>139</v>
      </c>
      <c r="G12" s="12">
        <v>2</v>
      </c>
      <c r="H12" s="13">
        <v>22</v>
      </c>
      <c r="I12" s="31">
        <v>20000</v>
      </c>
      <c r="J12" s="5">
        <v>1736</v>
      </c>
      <c r="K12" s="15">
        <f>L12+8174+10376+1736</f>
        <v>20286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/>
      <c r="X12" s="16"/>
      <c r="Y12" s="16"/>
      <c r="Z12" s="16"/>
      <c r="AA12" s="18">
        <v>24</v>
      </c>
      <c r="AB12" s="8">
        <f t="shared" si="4"/>
        <v>0</v>
      </c>
      <c r="AC12" s="9">
        <f t="shared" si="5"/>
        <v>0</v>
      </c>
      <c r="AD12" s="10">
        <f t="shared" si="6"/>
        <v>0</v>
      </c>
      <c r="AE12" s="36">
        <f t="shared" si="7"/>
        <v>0.46969696969696972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123</v>
      </c>
      <c r="E13" s="53" t="s">
        <v>179</v>
      </c>
      <c r="F13" s="30" t="s">
        <v>128</v>
      </c>
      <c r="G13" s="33">
        <v>2</v>
      </c>
      <c r="H13" s="35">
        <v>35</v>
      </c>
      <c r="I13" s="7">
        <v>190000</v>
      </c>
      <c r="J13" s="14">
        <v>11574</v>
      </c>
      <c r="K13" s="15">
        <f>L13+6644+12322+12086+12660+12576+12284+12314+12182+11830+12272+12308+9086+11062+12174+5438</f>
        <v>178812</v>
      </c>
      <c r="L13" s="15">
        <f>2736*2+3051*2</f>
        <v>11574</v>
      </c>
      <c r="M13" s="15">
        <f t="shared" si="0"/>
        <v>11574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6"/>
        <v>1</v>
      </c>
      <c r="AE13" s="36">
        <f t="shared" si="7"/>
        <v>0.46969696969696972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232</v>
      </c>
      <c r="D14" s="52" t="s">
        <v>477</v>
      </c>
      <c r="E14" s="53" t="s">
        <v>469</v>
      </c>
      <c r="F14" s="30" t="s">
        <v>171</v>
      </c>
      <c r="G14" s="33">
        <v>1</v>
      </c>
      <c r="H14" s="35">
        <v>50</v>
      </c>
      <c r="I14" s="7">
        <v>700</v>
      </c>
      <c r="J14" s="5">
        <v>750</v>
      </c>
      <c r="K14" s="15">
        <f>L14+750</f>
        <v>750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0.46969696969696972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12000</v>
      </c>
      <c r="J15" s="14">
        <v>12356</v>
      </c>
      <c r="K15" s="15">
        <f>L15+12356</f>
        <v>12356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0.46969696969696972</v>
      </c>
      <c r="AF15" s="84">
        <f t="shared" si="8"/>
        <v>10</v>
      </c>
    </row>
    <row r="16" spans="1:32" ht="27" customHeight="1">
      <c r="A16" s="112">
        <v>11</v>
      </c>
      <c r="B16" s="11" t="s">
        <v>57</v>
      </c>
      <c r="C16" s="34" t="s">
        <v>112</v>
      </c>
      <c r="D16" s="52" t="s">
        <v>137</v>
      </c>
      <c r="E16" s="53" t="s">
        <v>433</v>
      </c>
      <c r="F16" s="30" t="s">
        <v>140</v>
      </c>
      <c r="G16" s="12">
        <v>1</v>
      </c>
      <c r="H16" s="13">
        <v>24</v>
      </c>
      <c r="I16" s="7">
        <v>22000</v>
      </c>
      <c r="J16" s="14">
        <v>4988</v>
      </c>
      <c r="K16" s="15">
        <f>L16+4843+5487+5445+2411</f>
        <v>23174</v>
      </c>
      <c r="L16" s="15">
        <f>2453+2535</f>
        <v>4988</v>
      </c>
      <c r="M16" s="15">
        <f t="shared" si="0"/>
        <v>4988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6"/>
        <v>1</v>
      </c>
      <c r="AE16" s="36">
        <f t="shared" si="7"/>
        <v>0.46969696969696972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138</v>
      </c>
      <c r="D17" s="52" t="s">
        <v>462</v>
      </c>
      <c r="E17" s="53" t="s">
        <v>483</v>
      </c>
      <c r="F17" s="30" t="s">
        <v>461</v>
      </c>
      <c r="G17" s="12">
        <v>1</v>
      </c>
      <c r="H17" s="13">
        <v>24</v>
      </c>
      <c r="I17" s="7">
        <v>8000</v>
      </c>
      <c r="J17" s="14">
        <v>2730</v>
      </c>
      <c r="K17" s="15">
        <f>L17+3862+2538</f>
        <v>9130</v>
      </c>
      <c r="L17" s="15">
        <v>2730</v>
      </c>
      <c r="M17" s="15">
        <f t="shared" si="0"/>
        <v>2730</v>
      </c>
      <c r="N17" s="15">
        <v>0</v>
      </c>
      <c r="O17" s="58">
        <f t="shared" si="1"/>
        <v>0</v>
      </c>
      <c r="P17" s="39">
        <f t="shared" si="2"/>
        <v>14</v>
      </c>
      <c r="Q17" s="40">
        <f t="shared" si="3"/>
        <v>10</v>
      </c>
      <c r="R17" s="7"/>
      <c r="S17" s="6"/>
      <c r="T17" s="16"/>
      <c r="U17" s="16"/>
      <c r="V17" s="17"/>
      <c r="W17" s="5">
        <v>10</v>
      </c>
      <c r="X17" s="16"/>
      <c r="Y17" s="16"/>
      <c r="Z17" s="16"/>
      <c r="AA17" s="18"/>
      <c r="AB17" s="8">
        <f t="shared" si="4"/>
        <v>1</v>
      </c>
      <c r="AC17" s="9">
        <f t="shared" si="5"/>
        <v>0.58333333333333337</v>
      </c>
      <c r="AD17" s="10">
        <f t="shared" si="6"/>
        <v>0.58333333333333337</v>
      </c>
      <c r="AE17" s="36">
        <f t="shared" si="7"/>
        <v>0.46969696969696972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137</v>
      </c>
      <c r="E18" s="53" t="s">
        <v>191</v>
      </c>
      <c r="F18" s="30" t="s">
        <v>130</v>
      </c>
      <c r="G18" s="33">
        <v>1</v>
      </c>
      <c r="H18" s="35">
        <v>24</v>
      </c>
      <c r="I18" s="7">
        <v>180000</v>
      </c>
      <c r="J18" s="14">
        <v>10478</v>
      </c>
      <c r="K18" s="15">
        <f>L18+9952+11100+11616+11336+11468+11654+10384+11002+11590+11484+11300+9654+6186+11446+8364+11404+11256+4434+2660</f>
        <v>198768</v>
      </c>
      <c r="L18" s="15">
        <f>2363*2+2876*2</f>
        <v>10478</v>
      </c>
      <c r="M18" s="15">
        <f t="shared" si="0"/>
        <v>10478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6"/>
        <v>1</v>
      </c>
      <c r="AE18" s="36">
        <f t="shared" si="7"/>
        <v>0.46969696969696972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112</v>
      </c>
      <c r="D19" s="52" t="s">
        <v>123</v>
      </c>
      <c r="E19" s="53" t="s">
        <v>496</v>
      </c>
      <c r="F19" s="30" t="s">
        <v>171</v>
      </c>
      <c r="G19" s="33">
        <v>1</v>
      </c>
      <c r="H19" s="35">
        <v>24</v>
      </c>
      <c r="I19" s="7">
        <v>200</v>
      </c>
      <c r="J19" s="14">
        <v>1259</v>
      </c>
      <c r="K19" s="15">
        <f>L19</f>
        <v>1259</v>
      </c>
      <c r="L19" s="15">
        <v>1259</v>
      </c>
      <c r="M19" s="15">
        <f t="shared" si="0"/>
        <v>1259</v>
      </c>
      <c r="N19" s="15">
        <v>0</v>
      </c>
      <c r="O19" s="58">
        <f t="shared" si="1"/>
        <v>0</v>
      </c>
      <c r="P19" s="39">
        <f t="shared" si="2"/>
        <v>10</v>
      </c>
      <c r="Q19" s="40">
        <f t="shared" si="3"/>
        <v>14</v>
      </c>
      <c r="R19" s="7"/>
      <c r="S19" s="6">
        <v>2</v>
      </c>
      <c r="T19" s="16"/>
      <c r="U19" s="16"/>
      <c r="V19" s="17"/>
      <c r="W19" s="5">
        <v>12</v>
      </c>
      <c r="X19" s="16"/>
      <c r="Y19" s="16"/>
      <c r="Z19" s="16"/>
      <c r="AA19" s="18"/>
      <c r="AB19" s="8">
        <f t="shared" si="4"/>
        <v>1</v>
      </c>
      <c r="AC19" s="9">
        <f t="shared" si="5"/>
        <v>0.41666666666666669</v>
      </c>
      <c r="AD19" s="10">
        <f t="shared" si="6"/>
        <v>0.41666666666666669</v>
      </c>
      <c r="AE19" s="36">
        <f t="shared" si="7"/>
        <v>0.46969696969696972</v>
      </c>
      <c r="AF19" s="84">
        <f t="shared" si="8"/>
        <v>14</v>
      </c>
    </row>
    <row r="20" spans="1:32" ht="27" customHeight="1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206</v>
      </c>
      <c r="G20" s="12">
        <v>1</v>
      </c>
      <c r="H20" s="13">
        <v>24</v>
      </c>
      <c r="I20" s="7">
        <v>230000</v>
      </c>
      <c r="J20" s="14">
        <v>5171</v>
      </c>
      <c r="K20" s="15">
        <f>L20+7008+11154+9077+8768+10676+10588+2521+7242+10236+10216+10614+10620+10632+10760+10206+10892+10136+10692+10896+9992+10630+10894+7459+6981+3140+4342+308</f>
        <v>241851</v>
      </c>
      <c r="L20" s="15">
        <f>2450+2721</f>
        <v>5171</v>
      </c>
      <c r="M20" s="15">
        <f t="shared" si="0"/>
        <v>5171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0.46969696969696972</v>
      </c>
      <c r="AF20" s="84">
        <f t="shared" si="8"/>
        <v>15</v>
      </c>
    </row>
    <row r="21" spans="1:32" ht="26.25" customHeight="1">
      <c r="A21" s="96">
        <v>16</v>
      </c>
      <c r="B21" s="11" t="s">
        <v>57</v>
      </c>
      <c r="C21" s="11" t="s">
        <v>113</v>
      </c>
      <c r="D21" s="52"/>
      <c r="E21" s="53" t="s">
        <v>134</v>
      </c>
      <c r="F21" s="12" t="s">
        <v>114</v>
      </c>
      <c r="G21" s="12">
        <v>4</v>
      </c>
      <c r="H21" s="35">
        <v>20</v>
      </c>
      <c r="I21" s="7">
        <v>1000000</v>
      </c>
      <c r="J21" s="14">
        <v>50740</v>
      </c>
      <c r="K21" s="15">
        <f>L21</f>
        <v>50740</v>
      </c>
      <c r="L21" s="15">
        <f>7780*4+4905*4</f>
        <v>50740</v>
      </c>
      <c r="M21" s="15">
        <f t="shared" si="0"/>
        <v>50740</v>
      </c>
      <c r="N21" s="15">
        <v>0</v>
      </c>
      <c r="O21" s="58">
        <f t="shared" si="1"/>
        <v>0</v>
      </c>
      <c r="P21" s="39">
        <f t="shared" si="2"/>
        <v>21</v>
      </c>
      <c r="Q21" s="40">
        <f t="shared" si="3"/>
        <v>3</v>
      </c>
      <c r="R21" s="7"/>
      <c r="S21" s="6"/>
      <c r="T21" s="16">
        <v>3</v>
      </c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0.875</v>
      </c>
      <c r="AD21" s="10">
        <f t="shared" si="6"/>
        <v>0.875</v>
      </c>
      <c r="AE21" s="36">
        <f t="shared" si="7"/>
        <v>0.46969696969696972</v>
      </c>
      <c r="AF21" s="84">
        <f t="shared" si="8"/>
        <v>16</v>
      </c>
    </row>
    <row r="22" spans="1:32" ht="18.75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0.46969696969696972</v>
      </c>
      <c r="AF22" s="84">
        <f t="shared" si="8"/>
        <v>31</v>
      </c>
    </row>
    <row r="23" spans="1:32" ht="18.75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0.46969696969696972</v>
      </c>
      <c r="AF23" s="84">
        <f t="shared" si="8"/>
        <v>32</v>
      </c>
    </row>
    <row r="24" spans="1:32" ht="18.75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3244</v>
      </c>
      <c r="K24" s="15">
        <f>L24+4387+7770+5806+7905+7479+7369+7360+2397+6904+7208+7013+6976+6992+2652+6495+7026+7051+7084+4297+6519+7042+3244</f>
        <v>136976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20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0.46969696969696972</v>
      </c>
      <c r="AF24" s="84">
        <f t="shared" si="8"/>
        <v>33</v>
      </c>
    </row>
    <row r="25" spans="1:32" ht="28.5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0.46969696969696972</v>
      </c>
      <c r="AF25" s="84">
        <f t="shared" si="8"/>
        <v>34</v>
      </c>
    </row>
    <row r="26" spans="1:32" ht="28.5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0.46969696969696972</v>
      </c>
      <c r="AF26" s="84">
        <f t="shared" si="8"/>
        <v>35</v>
      </c>
    </row>
    <row r="27" spans="1:32" ht="19.5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1300000</v>
      </c>
      <c r="J27" s="14">
        <v>199470</v>
      </c>
      <c r="K27" s="15">
        <f>L27+356070+486150+492600+465600+199470</f>
        <v>1999890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15</v>
      </c>
      <c r="R27" s="7"/>
      <c r="S27" s="6"/>
      <c r="T27" s="16"/>
      <c r="U27" s="16"/>
      <c r="V27" s="120"/>
      <c r="W27" s="5">
        <v>15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0.46969696969696972</v>
      </c>
      <c r="AF27" s="84">
        <f t="shared" si="8"/>
        <v>36</v>
      </c>
    </row>
    <row r="28" spans="1:32" ht="19.5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9">SUM(I6:I27)</f>
        <v>4155050</v>
      </c>
      <c r="J28" s="19">
        <f t="shared" si="9"/>
        <v>360071</v>
      </c>
      <c r="K28" s="20">
        <f t="shared" si="9"/>
        <v>3775841</v>
      </c>
      <c r="L28" s="21">
        <f t="shared" si="9"/>
        <v>120777</v>
      </c>
      <c r="M28" s="20">
        <f t="shared" si="9"/>
        <v>120777</v>
      </c>
      <c r="N28" s="21">
        <f t="shared" si="9"/>
        <v>0</v>
      </c>
      <c r="O28" s="41">
        <f t="shared" si="1"/>
        <v>0</v>
      </c>
      <c r="P28" s="42">
        <f t="shared" ref="P28:AA28" si="10">SUM(P6:P27)</f>
        <v>248</v>
      </c>
      <c r="Q28" s="43">
        <f t="shared" si="10"/>
        <v>271</v>
      </c>
      <c r="R28" s="23">
        <f t="shared" si="10"/>
        <v>0</v>
      </c>
      <c r="S28" s="24">
        <f t="shared" si="10"/>
        <v>15</v>
      </c>
      <c r="T28" s="24">
        <f t="shared" si="10"/>
        <v>3</v>
      </c>
      <c r="U28" s="24">
        <f t="shared" si="10"/>
        <v>0</v>
      </c>
      <c r="V28" s="25">
        <f t="shared" si="10"/>
        <v>48</v>
      </c>
      <c r="W28" s="26">
        <f t="shared" si="10"/>
        <v>157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48</v>
      </c>
      <c r="AB28" s="28">
        <f>AVERAGE(AB6:AB27)</f>
        <v>0.6</v>
      </c>
      <c r="AC28" s="4">
        <f>AVERAGE(AC6:AC27)</f>
        <v>0.46969696969696972</v>
      </c>
      <c r="AD28" s="4">
        <f>AVERAGE(AD6:AD27)</f>
        <v>0.46969696969696972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520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521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382" t="s">
        <v>46</v>
      </c>
      <c r="D57" s="382" t="s">
        <v>47</v>
      </c>
      <c r="E57" s="382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382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43" t="s">
        <v>112</v>
      </c>
      <c r="B58" s="533"/>
      <c r="C58" s="378" t="s">
        <v>161</v>
      </c>
      <c r="D58" s="378" t="s">
        <v>135</v>
      </c>
      <c r="E58" s="378" t="s">
        <v>496</v>
      </c>
      <c r="F58" s="530" t="s">
        <v>270</v>
      </c>
      <c r="G58" s="531"/>
      <c r="H58" s="531"/>
      <c r="I58" s="531"/>
      <c r="J58" s="531"/>
      <c r="K58" s="531"/>
      <c r="L58" s="531"/>
      <c r="M58" s="532"/>
      <c r="N58" s="381" t="s">
        <v>116</v>
      </c>
      <c r="O58" s="375" t="s">
        <v>161</v>
      </c>
      <c r="P58" s="544" t="s">
        <v>122</v>
      </c>
      <c r="Q58" s="545"/>
      <c r="R58" s="544" t="s">
        <v>522</v>
      </c>
      <c r="S58" s="546"/>
      <c r="T58" s="546"/>
      <c r="U58" s="545"/>
      <c r="V58" s="517" t="s">
        <v>124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43" t="s">
        <v>138</v>
      </c>
      <c r="B59" s="533"/>
      <c r="C59" s="378" t="s">
        <v>217</v>
      </c>
      <c r="D59" s="378" t="s">
        <v>142</v>
      </c>
      <c r="E59" s="378" t="s">
        <v>241</v>
      </c>
      <c r="F59" s="530" t="s">
        <v>209</v>
      </c>
      <c r="G59" s="531"/>
      <c r="H59" s="531"/>
      <c r="I59" s="531"/>
      <c r="J59" s="531"/>
      <c r="K59" s="531"/>
      <c r="L59" s="531"/>
      <c r="M59" s="532"/>
      <c r="N59" s="381" t="s">
        <v>138</v>
      </c>
      <c r="O59" s="375" t="s">
        <v>164</v>
      </c>
      <c r="P59" s="544"/>
      <c r="Q59" s="545"/>
      <c r="R59" s="544" t="s">
        <v>523</v>
      </c>
      <c r="S59" s="546"/>
      <c r="T59" s="546"/>
      <c r="U59" s="545"/>
      <c r="V59" s="517" t="s">
        <v>124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138</v>
      </c>
      <c r="B60" s="533"/>
      <c r="C60" s="378" t="s">
        <v>156</v>
      </c>
      <c r="D60" s="378" t="s">
        <v>115</v>
      </c>
      <c r="E60" s="378" t="s">
        <v>253</v>
      </c>
      <c r="F60" s="530" t="s">
        <v>414</v>
      </c>
      <c r="G60" s="531"/>
      <c r="H60" s="531"/>
      <c r="I60" s="531"/>
      <c r="J60" s="531"/>
      <c r="K60" s="531"/>
      <c r="L60" s="531"/>
      <c r="M60" s="532"/>
      <c r="N60" s="381" t="s">
        <v>112</v>
      </c>
      <c r="O60" s="375" t="s">
        <v>287</v>
      </c>
      <c r="P60" s="544" t="s">
        <v>115</v>
      </c>
      <c r="Q60" s="545"/>
      <c r="R60" s="544" t="s">
        <v>524</v>
      </c>
      <c r="S60" s="546"/>
      <c r="T60" s="546"/>
      <c r="U60" s="545"/>
      <c r="V60" s="517" t="s">
        <v>124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113</v>
      </c>
      <c r="B61" s="533"/>
      <c r="C61" s="378" t="s">
        <v>289</v>
      </c>
      <c r="D61" s="378"/>
      <c r="E61" s="378" t="s">
        <v>134</v>
      </c>
      <c r="F61" s="530" t="s">
        <v>124</v>
      </c>
      <c r="G61" s="531"/>
      <c r="H61" s="531"/>
      <c r="I61" s="531"/>
      <c r="J61" s="531"/>
      <c r="K61" s="531"/>
      <c r="L61" s="531"/>
      <c r="M61" s="532"/>
      <c r="N61" s="381"/>
      <c r="O61" s="375"/>
      <c r="P61" s="544"/>
      <c r="Q61" s="545"/>
      <c r="R61" s="544"/>
      <c r="S61" s="546"/>
      <c r="T61" s="546"/>
      <c r="U61" s="545"/>
      <c r="V61" s="517"/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/>
      <c r="B62" s="533"/>
      <c r="C62" s="378"/>
      <c r="D62" s="378"/>
      <c r="E62" s="378"/>
      <c r="F62" s="530"/>
      <c r="G62" s="531"/>
      <c r="H62" s="531"/>
      <c r="I62" s="531"/>
      <c r="J62" s="531"/>
      <c r="K62" s="531"/>
      <c r="L62" s="531"/>
      <c r="M62" s="532"/>
      <c r="N62" s="381"/>
      <c r="O62" s="375"/>
      <c r="P62" s="544"/>
      <c r="Q62" s="545"/>
      <c r="R62" s="544"/>
      <c r="S62" s="546"/>
      <c r="T62" s="546"/>
      <c r="U62" s="545"/>
      <c r="V62" s="517"/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/>
      <c r="B63" s="533"/>
      <c r="C63" s="378"/>
      <c r="D63" s="378"/>
      <c r="E63" s="378"/>
      <c r="F63" s="530"/>
      <c r="G63" s="531"/>
      <c r="H63" s="531"/>
      <c r="I63" s="531"/>
      <c r="J63" s="531"/>
      <c r="K63" s="531"/>
      <c r="L63" s="531"/>
      <c r="M63" s="532"/>
      <c r="N63" s="381"/>
      <c r="O63" s="375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378"/>
      <c r="D64" s="378"/>
      <c r="E64" s="378"/>
      <c r="F64" s="530"/>
      <c r="G64" s="531"/>
      <c r="H64" s="531"/>
      <c r="I64" s="531"/>
      <c r="J64" s="531"/>
      <c r="K64" s="531"/>
      <c r="L64" s="531"/>
      <c r="M64" s="532"/>
      <c r="N64" s="381"/>
      <c r="O64" s="375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377"/>
      <c r="D65" s="377"/>
      <c r="E65" s="378"/>
      <c r="F65" s="530"/>
      <c r="G65" s="531"/>
      <c r="H65" s="531"/>
      <c r="I65" s="531"/>
      <c r="J65" s="531"/>
      <c r="K65" s="531"/>
      <c r="L65" s="531"/>
      <c r="M65" s="532"/>
      <c r="N65" s="381"/>
      <c r="O65" s="375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377"/>
      <c r="D66" s="377"/>
      <c r="E66" s="378"/>
      <c r="F66" s="530"/>
      <c r="G66" s="531"/>
      <c r="H66" s="531"/>
      <c r="I66" s="531"/>
      <c r="J66" s="531"/>
      <c r="K66" s="531"/>
      <c r="L66" s="531"/>
      <c r="M66" s="532"/>
      <c r="N66" s="381"/>
      <c r="O66" s="375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379"/>
      <c r="D67" s="380"/>
      <c r="E67" s="379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525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376" t="s">
        <v>2</v>
      </c>
      <c r="D69" s="376" t="s">
        <v>37</v>
      </c>
      <c r="E69" s="376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376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 t="s">
        <v>116</v>
      </c>
      <c r="D70" s="371"/>
      <c r="E70" s="374" t="s">
        <v>142</v>
      </c>
      <c r="F70" s="518" t="s">
        <v>487</v>
      </c>
      <c r="G70" s="519"/>
      <c r="H70" s="519"/>
      <c r="I70" s="519"/>
      <c r="J70" s="520"/>
      <c r="K70" s="504" t="s">
        <v>140</v>
      </c>
      <c r="L70" s="504"/>
      <c r="M70" s="51" t="s">
        <v>316</v>
      </c>
      <c r="N70" s="515" t="s">
        <v>287</v>
      </c>
      <c r="O70" s="515"/>
      <c r="P70" s="516">
        <v>100</v>
      </c>
      <c r="Q70" s="516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 t="s">
        <v>116</v>
      </c>
      <c r="D71" s="371"/>
      <c r="E71" s="374" t="s">
        <v>135</v>
      </c>
      <c r="F71" s="518" t="s">
        <v>526</v>
      </c>
      <c r="G71" s="519"/>
      <c r="H71" s="519"/>
      <c r="I71" s="519"/>
      <c r="J71" s="520"/>
      <c r="K71" s="504">
        <v>7301</v>
      </c>
      <c r="L71" s="504"/>
      <c r="M71" s="51" t="s">
        <v>316</v>
      </c>
      <c r="N71" s="515" t="s">
        <v>287</v>
      </c>
      <c r="O71" s="515"/>
      <c r="P71" s="516">
        <v>100</v>
      </c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/>
      <c r="D72" s="371"/>
      <c r="E72" s="374"/>
      <c r="F72" s="518"/>
      <c r="G72" s="519"/>
      <c r="H72" s="519"/>
      <c r="I72" s="519"/>
      <c r="J72" s="520"/>
      <c r="K72" s="504"/>
      <c r="L72" s="504"/>
      <c r="M72" s="51"/>
      <c r="N72" s="515"/>
      <c r="O72" s="515"/>
      <c r="P72" s="516"/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/>
      <c r="D73" s="371"/>
      <c r="E73" s="374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/>
      <c r="D74" s="371"/>
      <c r="E74" s="374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/>
      <c r="D75" s="371"/>
      <c r="E75" s="374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/>
      <c r="D76" s="371"/>
      <c r="E76" s="374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371"/>
      <c r="E77" s="374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371"/>
      <c r="E78" s="374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371"/>
      <c r="E79" s="374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527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373" t="s">
        <v>2</v>
      </c>
      <c r="D81" s="373" t="s">
        <v>37</v>
      </c>
      <c r="E81" s="373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372"/>
      <c r="D82" s="372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371"/>
      <c r="D83" s="371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1">A83+1</f>
        <v>3</v>
      </c>
      <c r="B84" s="472"/>
      <c r="C84" s="371"/>
      <c r="D84" s="371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1"/>
        <v>4</v>
      </c>
      <c r="B85" s="472"/>
      <c r="C85" s="371"/>
      <c r="D85" s="371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1"/>
        <v>5</v>
      </c>
      <c r="B86" s="472"/>
      <c r="C86" s="371"/>
      <c r="D86" s="371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1"/>
        <v>6</v>
      </c>
      <c r="B87" s="472"/>
      <c r="C87" s="371"/>
      <c r="D87" s="371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1"/>
        <v>7</v>
      </c>
      <c r="B88" s="472"/>
      <c r="C88" s="371"/>
      <c r="D88" s="371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528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>
        <v>1900000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3" max="29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081E-731A-4141-9748-7C1D013B1FBC}">
  <sheetPr>
    <pageSetUpPr fitToPage="1"/>
  </sheetPr>
  <dimension ref="A1:AF93"/>
  <sheetViews>
    <sheetView view="pageBreakPreview" zoomScale="70" zoomScaleNormal="72" zoomScaleSheetLayoutView="70" workbookViewId="0">
      <selection activeCell="E20" sqref="E2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529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384" t="s">
        <v>17</v>
      </c>
      <c r="L5" s="384" t="s">
        <v>18</v>
      </c>
      <c r="M5" s="384" t="s">
        <v>19</v>
      </c>
      <c r="N5" s="38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476</v>
      </c>
      <c r="C6" s="34" t="s">
        <v>112</v>
      </c>
      <c r="D6" s="52" t="s">
        <v>475</v>
      </c>
      <c r="E6" s="53" t="s">
        <v>454</v>
      </c>
      <c r="F6" s="30" t="s">
        <v>141</v>
      </c>
      <c r="G6" s="12">
        <v>1</v>
      </c>
      <c r="H6" s="13">
        <v>24</v>
      </c>
      <c r="I6" s="31">
        <v>150</v>
      </c>
      <c r="J6" s="14">
        <v>150</v>
      </c>
      <c r="K6" s="15">
        <f>L6+150</f>
        <v>150</v>
      </c>
      <c r="L6" s="15"/>
      <c r="M6" s="15">
        <f t="shared" ref="M6:M27" si="0">L6-N6</f>
        <v>0</v>
      </c>
      <c r="N6" s="15">
        <v>0</v>
      </c>
      <c r="O6" s="58" t="str">
        <f t="shared" ref="O6:O28" si="1">IF(L6=0,"0",N6/L6)</f>
        <v>0</v>
      </c>
      <c r="P6" s="39" t="str">
        <f t="shared" ref="P6:P27" si="2">IF(L6=0,"0",(24-Q6))</f>
        <v>0</v>
      </c>
      <c r="Q6" s="40">
        <f t="shared" ref="Q6:Q27" si="3">SUM(R6:AA6)</f>
        <v>24</v>
      </c>
      <c r="R6" s="7"/>
      <c r="S6" s="6"/>
      <c r="T6" s="16"/>
      <c r="U6" s="16"/>
      <c r="V6" s="17"/>
      <c r="W6" s="5"/>
      <c r="X6" s="16"/>
      <c r="Y6" s="16"/>
      <c r="Z6" s="16"/>
      <c r="AA6" s="18">
        <v>24</v>
      </c>
      <c r="AB6" s="8">
        <f t="shared" ref="AB6:AB27" si="4">IF(J6=0,"0",(L6/J6))</f>
        <v>0</v>
      </c>
      <c r="AC6" s="9">
        <f t="shared" ref="AC6:AC27" si="5">IF(P6=0,"0",(P6/24))</f>
        <v>0</v>
      </c>
      <c r="AD6" s="10">
        <f t="shared" ref="AD6:AD27" si="6">AC6*AB6*(1-O6)</f>
        <v>0</v>
      </c>
      <c r="AE6" s="36">
        <f t="shared" ref="AE6:AE27" si="7">$AD$28</f>
        <v>0.4888129919613956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180000</v>
      </c>
      <c r="J7" s="14">
        <v>5910</v>
      </c>
      <c r="K7" s="15">
        <f>L7+4540+5413+4776+3810+3773+2780+4786</f>
        <v>35788</v>
      </c>
      <c r="L7" s="15">
        <f>2950+2960</f>
        <v>5910</v>
      </c>
      <c r="M7" s="15">
        <f t="shared" si="0"/>
        <v>5910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si="6"/>
        <v>1</v>
      </c>
      <c r="AE7" s="36">
        <f t="shared" si="7"/>
        <v>0.4888129919613956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180000</v>
      </c>
      <c r="J8" s="14">
        <v>11708</v>
      </c>
      <c r="K8" s="15">
        <f>L8+8132+2262+5886+10522+11854+11762+11766+11818+11592+5898+11758+11820+11712+11856+11816+5182+6610</f>
        <v>173954</v>
      </c>
      <c r="L8" s="15">
        <f>2921*2+2933*2</f>
        <v>11708</v>
      </c>
      <c r="M8" s="15">
        <f t="shared" si="0"/>
        <v>11708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0.4888129919613956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180000</v>
      </c>
      <c r="J9" s="14">
        <v>11636</v>
      </c>
      <c r="K9" s="15">
        <f>L9+10280+10788+10818+10814+11584+6366+11696+11770+11638+11800+8836+5222+10904</f>
        <v>144152</v>
      </c>
      <c r="L9" s="15">
        <f>2889*2+2929*2</f>
        <v>11636</v>
      </c>
      <c r="M9" s="15">
        <f t="shared" si="0"/>
        <v>11636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0.4888129919613956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112</v>
      </c>
      <c r="D10" s="52" t="s">
        <v>123</v>
      </c>
      <c r="E10" s="53" t="s">
        <v>266</v>
      </c>
      <c r="F10" s="30" t="s">
        <v>128</v>
      </c>
      <c r="G10" s="33">
        <v>1</v>
      </c>
      <c r="H10" s="35">
        <v>24</v>
      </c>
      <c r="I10" s="7">
        <v>22000</v>
      </c>
      <c r="J10" s="14">
        <v>5413</v>
      </c>
      <c r="K10" s="15">
        <f>L10+4028+5980+2699+5664</f>
        <v>23784</v>
      </c>
      <c r="L10" s="15">
        <f>2457+2956</f>
        <v>5413</v>
      </c>
      <c r="M10" s="15">
        <f t="shared" si="0"/>
        <v>5413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6"/>
        <v>1</v>
      </c>
      <c r="AE10" s="36">
        <f t="shared" si="7"/>
        <v>0.4888129919613956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123</v>
      </c>
      <c r="E11" s="53" t="s">
        <v>468</v>
      </c>
      <c r="F11" s="30" t="s">
        <v>128</v>
      </c>
      <c r="G11" s="33">
        <v>1</v>
      </c>
      <c r="H11" s="35">
        <v>24</v>
      </c>
      <c r="I11" s="7">
        <v>10000</v>
      </c>
      <c r="J11" s="14">
        <v>5873</v>
      </c>
      <c r="K11" s="15">
        <f>L11+3886+6407+2878+5873</f>
        <v>19044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/>
      <c r="X11" s="16"/>
      <c r="Y11" s="16"/>
      <c r="Z11" s="16"/>
      <c r="AA11" s="18">
        <v>24</v>
      </c>
      <c r="AB11" s="8">
        <f t="shared" si="4"/>
        <v>0</v>
      </c>
      <c r="AC11" s="9">
        <f t="shared" si="5"/>
        <v>0</v>
      </c>
      <c r="AD11" s="10">
        <f t="shared" si="6"/>
        <v>0</v>
      </c>
      <c r="AE11" s="36">
        <f t="shared" si="7"/>
        <v>0.4888129919613956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138</v>
      </c>
      <c r="D12" s="52" t="s">
        <v>115</v>
      </c>
      <c r="E12" s="53" t="s">
        <v>381</v>
      </c>
      <c r="F12" s="30" t="s">
        <v>139</v>
      </c>
      <c r="G12" s="12">
        <v>2</v>
      </c>
      <c r="H12" s="13">
        <v>22</v>
      </c>
      <c r="I12" s="31">
        <v>20000</v>
      </c>
      <c r="J12" s="5">
        <v>1736</v>
      </c>
      <c r="K12" s="15">
        <f>L12+8174+10376+1736</f>
        <v>20286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/>
      <c r="X12" s="16"/>
      <c r="Y12" s="16"/>
      <c r="Z12" s="16"/>
      <c r="AA12" s="18">
        <v>24</v>
      </c>
      <c r="AB12" s="8">
        <f t="shared" si="4"/>
        <v>0</v>
      </c>
      <c r="AC12" s="9">
        <f t="shared" si="5"/>
        <v>0</v>
      </c>
      <c r="AD12" s="10">
        <f t="shared" si="6"/>
        <v>0</v>
      </c>
      <c r="AE12" s="36">
        <f t="shared" si="7"/>
        <v>0.4888129919613956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123</v>
      </c>
      <c r="E13" s="53" t="s">
        <v>179</v>
      </c>
      <c r="F13" s="30" t="s">
        <v>128</v>
      </c>
      <c r="G13" s="33">
        <v>2</v>
      </c>
      <c r="H13" s="35">
        <v>35</v>
      </c>
      <c r="I13" s="7">
        <v>190000</v>
      </c>
      <c r="J13" s="14">
        <v>8654</v>
      </c>
      <c r="K13" s="15">
        <f>L13+6644+12322+12086+12660+12576+12284+12314+12182+11830+12272+12308+9086+11062+12174+5438+11574</f>
        <v>187466</v>
      </c>
      <c r="L13" s="15">
        <f>2982*2+1345*2</f>
        <v>8654</v>
      </c>
      <c r="M13" s="15">
        <f t="shared" si="0"/>
        <v>8654</v>
      </c>
      <c r="N13" s="15">
        <v>0</v>
      </c>
      <c r="O13" s="58">
        <f t="shared" si="1"/>
        <v>0</v>
      </c>
      <c r="P13" s="39">
        <f t="shared" si="2"/>
        <v>22</v>
      </c>
      <c r="Q13" s="40">
        <f t="shared" si="3"/>
        <v>2</v>
      </c>
      <c r="R13" s="7"/>
      <c r="S13" s="6"/>
      <c r="T13" s="16"/>
      <c r="U13" s="16"/>
      <c r="V13" s="17"/>
      <c r="W13" s="5">
        <v>2</v>
      </c>
      <c r="X13" s="16"/>
      <c r="Y13" s="16"/>
      <c r="Z13" s="16"/>
      <c r="AA13" s="18"/>
      <c r="AB13" s="8">
        <f t="shared" si="4"/>
        <v>1</v>
      </c>
      <c r="AC13" s="9">
        <f t="shared" si="5"/>
        <v>0.91666666666666663</v>
      </c>
      <c r="AD13" s="10">
        <f t="shared" si="6"/>
        <v>0.91666666666666663</v>
      </c>
      <c r="AE13" s="36">
        <f t="shared" si="7"/>
        <v>0.4888129919613956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232</v>
      </c>
      <c r="D14" s="52" t="s">
        <v>477</v>
      </c>
      <c r="E14" s="53" t="s">
        <v>469</v>
      </c>
      <c r="F14" s="30" t="s">
        <v>171</v>
      </c>
      <c r="G14" s="33">
        <v>1</v>
      </c>
      <c r="H14" s="35">
        <v>50</v>
      </c>
      <c r="I14" s="7">
        <v>700</v>
      </c>
      <c r="J14" s="5">
        <v>750</v>
      </c>
      <c r="K14" s="15">
        <f>L14+750</f>
        <v>750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0.4888129919613956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12000</v>
      </c>
      <c r="J15" s="14">
        <v>12356</v>
      </c>
      <c r="K15" s="15">
        <f>L15+12356</f>
        <v>12356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0.4888129919613956</v>
      </c>
      <c r="AF15" s="84">
        <f t="shared" si="8"/>
        <v>10</v>
      </c>
    </row>
    <row r="16" spans="1:32" ht="27" customHeight="1">
      <c r="A16" s="112">
        <v>11</v>
      </c>
      <c r="B16" s="11" t="s">
        <v>57</v>
      </c>
      <c r="C16" s="34" t="s">
        <v>112</v>
      </c>
      <c r="D16" s="52" t="s">
        <v>137</v>
      </c>
      <c r="E16" s="53" t="s">
        <v>433</v>
      </c>
      <c r="F16" s="30" t="s">
        <v>140</v>
      </c>
      <c r="G16" s="12">
        <v>1</v>
      </c>
      <c r="H16" s="13">
        <v>24</v>
      </c>
      <c r="I16" s="7">
        <v>22000</v>
      </c>
      <c r="J16" s="14">
        <v>5183</v>
      </c>
      <c r="K16" s="15">
        <f>L16+4843+5487+5445+2411+4988</f>
        <v>28357</v>
      </c>
      <c r="L16" s="15">
        <f>2480+2703</f>
        <v>5183</v>
      </c>
      <c r="M16" s="15">
        <f t="shared" si="0"/>
        <v>5183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6"/>
        <v>1</v>
      </c>
      <c r="AE16" s="36">
        <f t="shared" si="7"/>
        <v>0.4888129919613956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138</v>
      </c>
      <c r="D17" s="52"/>
      <c r="E17" s="53" t="s">
        <v>523</v>
      </c>
      <c r="F17" s="30" t="s">
        <v>530</v>
      </c>
      <c r="G17" s="12">
        <v>5</v>
      </c>
      <c r="H17" s="13">
        <v>24</v>
      </c>
      <c r="I17" s="7">
        <v>200000</v>
      </c>
      <c r="J17" s="14">
        <v>26370</v>
      </c>
      <c r="K17" s="15">
        <f>L17</f>
        <v>26370</v>
      </c>
      <c r="L17" s="15">
        <f>3828*5+1446*5</f>
        <v>26370</v>
      </c>
      <c r="M17" s="15">
        <f t="shared" si="0"/>
        <v>26370</v>
      </c>
      <c r="N17" s="15">
        <v>0</v>
      </c>
      <c r="O17" s="58">
        <f t="shared" si="1"/>
        <v>0</v>
      </c>
      <c r="P17" s="39">
        <f t="shared" si="2"/>
        <v>20</v>
      </c>
      <c r="Q17" s="40">
        <f t="shared" si="3"/>
        <v>4</v>
      </c>
      <c r="R17" s="7"/>
      <c r="S17" s="6">
        <v>4</v>
      </c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0.83333333333333337</v>
      </c>
      <c r="AD17" s="10">
        <f t="shared" si="6"/>
        <v>0.83333333333333337</v>
      </c>
      <c r="AE17" s="36">
        <f t="shared" si="7"/>
        <v>0.4888129919613956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137</v>
      </c>
      <c r="E18" s="53" t="s">
        <v>191</v>
      </c>
      <c r="F18" s="30" t="s">
        <v>130</v>
      </c>
      <c r="G18" s="33">
        <v>1</v>
      </c>
      <c r="H18" s="35">
        <v>24</v>
      </c>
      <c r="I18" s="7">
        <v>180000</v>
      </c>
      <c r="J18" s="14">
        <v>11296</v>
      </c>
      <c r="K18" s="15">
        <f>L18+9952+11100+11616+11336+11468+11654+10384+11002+11590+11484+11300+9654+6186+11446+8364+11404+11256+4434+2660+10478</f>
        <v>210064</v>
      </c>
      <c r="L18" s="15">
        <f>2844*2+2804*2</f>
        <v>11296</v>
      </c>
      <c r="M18" s="15">
        <f t="shared" si="0"/>
        <v>11296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6"/>
        <v>1</v>
      </c>
      <c r="AE18" s="36">
        <f t="shared" si="7"/>
        <v>0.4888129919613956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116</v>
      </c>
      <c r="D19" s="52" t="s">
        <v>122</v>
      </c>
      <c r="E19" s="53" t="s">
        <v>522</v>
      </c>
      <c r="F19" s="30" t="s">
        <v>130</v>
      </c>
      <c r="G19" s="33">
        <v>1</v>
      </c>
      <c r="H19" s="35">
        <v>24</v>
      </c>
      <c r="I19" s="7">
        <v>3000</v>
      </c>
      <c r="J19" s="14">
        <v>4698</v>
      </c>
      <c r="K19" s="15">
        <f>L19</f>
        <v>4698</v>
      </c>
      <c r="L19" s="15">
        <f>2319+2379</f>
        <v>4698</v>
      </c>
      <c r="M19" s="15">
        <f t="shared" si="0"/>
        <v>4698</v>
      </c>
      <c r="N19" s="15">
        <v>0</v>
      </c>
      <c r="O19" s="58">
        <f t="shared" si="1"/>
        <v>0</v>
      </c>
      <c r="P19" s="39">
        <f t="shared" si="2"/>
        <v>23</v>
      </c>
      <c r="Q19" s="40">
        <f t="shared" si="3"/>
        <v>1</v>
      </c>
      <c r="R19" s="7"/>
      <c r="S19" s="6"/>
      <c r="T19" s="16">
        <v>1</v>
      </c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0.95833333333333337</v>
      </c>
      <c r="AD19" s="10">
        <f t="shared" si="6"/>
        <v>0.95833333333333337</v>
      </c>
      <c r="AE19" s="36">
        <f t="shared" si="7"/>
        <v>0.4888129919613956</v>
      </c>
      <c r="AF19" s="84">
        <f t="shared" si="8"/>
        <v>14</v>
      </c>
    </row>
    <row r="20" spans="1:32" ht="27" customHeight="1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206</v>
      </c>
      <c r="G20" s="12">
        <v>1</v>
      </c>
      <c r="H20" s="13">
        <v>24</v>
      </c>
      <c r="I20" s="7">
        <v>230000</v>
      </c>
      <c r="J20" s="14">
        <v>4481</v>
      </c>
      <c r="K20" s="15">
        <f>L20+7008+11154+9077+8768+10676+10588+2521+7242+10236+10216+10614+10620+10632+10760+10206+10892+10136+10692+10896+9992+10630+10894+7459+6981+3140+4342+308+5171</f>
        <v>246332</v>
      </c>
      <c r="L20" s="15">
        <f>1662+2819</f>
        <v>4481</v>
      </c>
      <c r="M20" s="15">
        <f t="shared" si="0"/>
        <v>4481</v>
      </c>
      <c r="N20" s="15">
        <v>0</v>
      </c>
      <c r="O20" s="58">
        <f t="shared" si="1"/>
        <v>0</v>
      </c>
      <c r="P20" s="39">
        <f t="shared" si="2"/>
        <v>20</v>
      </c>
      <c r="Q20" s="40">
        <f t="shared" si="3"/>
        <v>4</v>
      </c>
      <c r="R20" s="7"/>
      <c r="S20" s="6">
        <v>4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0.83333333333333337</v>
      </c>
      <c r="AD20" s="10">
        <f t="shared" si="6"/>
        <v>0.83333333333333337</v>
      </c>
      <c r="AE20" s="36">
        <f t="shared" si="7"/>
        <v>0.4888129919613956</v>
      </c>
      <c r="AF20" s="84">
        <f t="shared" si="8"/>
        <v>15</v>
      </c>
    </row>
    <row r="21" spans="1:32" ht="26.25" customHeight="1">
      <c r="A21" s="96">
        <v>16</v>
      </c>
      <c r="B21" s="11" t="s">
        <v>57</v>
      </c>
      <c r="C21" s="11" t="s">
        <v>113</v>
      </c>
      <c r="D21" s="52"/>
      <c r="E21" s="53" t="s">
        <v>134</v>
      </c>
      <c r="F21" s="12" t="s">
        <v>114</v>
      </c>
      <c r="G21" s="12">
        <v>4</v>
      </c>
      <c r="H21" s="35">
        <v>20</v>
      </c>
      <c r="I21" s="7">
        <v>1000000</v>
      </c>
      <c r="J21" s="14">
        <v>50740</v>
      </c>
      <c r="K21" s="15">
        <f>L21+50740</f>
        <v>112248</v>
      </c>
      <c r="L21" s="15">
        <f>7667*4+7710*4</f>
        <v>61508</v>
      </c>
      <c r="M21" s="15">
        <f t="shared" si="0"/>
        <v>61508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1.2122191564840363</v>
      </c>
      <c r="AC21" s="9">
        <f t="shared" si="5"/>
        <v>1</v>
      </c>
      <c r="AD21" s="10">
        <f t="shared" si="6"/>
        <v>1.2122191564840363</v>
      </c>
      <c r="AE21" s="36">
        <f t="shared" si="7"/>
        <v>0.4888129919613956</v>
      </c>
      <c r="AF21" s="84">
        <f t="shared" si="8"/>
        <v>16</v>
      </c>
    </row>
    <row r="22" spans="1:32" ht="18.75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0.4888129919613956</v>
      </c>
      <c r="AF22" s="84">
        <f t="shared" si="8"/>
        <v>31</v>
      </c>
    </row>
    <row r="23" spans="1:32" ht="18.75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0.4888129919613956</v>
      </c>
      <c r="AF23" s="84">
        <f t="shared" si="8"/>
        <v>32</v>
      </c>
    </row>
    <row r="24" spans="1:32" ht="18.75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3244</v>
      </c>
      <c r="K24" s="15">
        <f>L24+4387+7770+5806+7905+7479+7369+7360+2397+6904+7208+7013+6976+6992+2652+6495+7026+7051+7084+4297+6519+7042+3244</f>
        <v>136976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20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0.4888129919613956</v>
      </c>
      <c r="AF24" s="84">
        <f t="shared" si="8"/>
        <v>33</v>
      </c>
    </row>
    <row r="25" spans="1:32" ht="28.5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0.4888129919613956</v>
      </c>
      <c r="AF25" s="84">
        <f t="shared" si="8"/>
        <v>34</v>
      </c>
    </row>
    <row r="26" spans="1:32" ht="28.5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0.4888129919613956</v>
      </c>
      <c r="AF26" s="84">
        <f t="shared" si="8"/>
        <v>35</v>
      </c>
    </row>
    <row r="27" spans="1:32" ht="19.5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1300000</v>
      </c>
      <c r="J27" s="14">
        <v>199470</v>
      </c>
      <c r="K27" s="15">
        <f>L27+356070+486150+492600+465600+199470</f>
        <v>1999890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15</v>
      </c>
      <c r="R27" s="7"/>
      <c r="S27" s="6"/>
      <c r="T27" s="16"/>
      <c r="U27" s="16"/>
      <c r="V27" s="120"/>
      <c r="W27" s="5">
        <v>15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0.4888129919613956</v>
      </c>
      <c r="AF27" s="84">
        <f t="shared" si="8"/>
        <v>36</v>
      </c>
    </row>
    <row r="28" spans="1:32" ht="19.5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9">SUM(I6:I27)</f>
        <v>4349850</v>
      </c>
      <c r="J28" s="19">
        <f t="shared" si="9"/>
        <v>391256</v>
      </c>
      <c r="K28" s="20">
        <f t="shared" si="9"/>
        <v>3922309</v>
      </c>
      <c r="L28" s="21">
        <f t="shared" si="9"/>
        <v>156857</v>
      </c>
      <c r="M28" s="20">
        <f t="shared" si="9"/>
        <v>156857</v>
      </c>
      <c r="N28" s="21">
        <f t="shared" si="9"/>
        <v>0</v>
      </c>
      <c r="O28" s="41">
        <f t="shared" si="1"/>
        <v>0</v>
      </c>
      <c r="P28" s="42">
        <f t="shared" ref="P28:AA28" si="10">SUM(P6:P27)</f>
        <v>253</v>
      </c>
      <c r="Q28" s="43">
        <f t="shared" si="10"/>
        <v>266</v>
      </c>
      <c r="R28" s="23">
        <f t="shared" si="10"/>
        <v>0</v>
      </c>
      <c r="S28" s="24">
        <f t="shared" si="10"/>
        <v>8</v>
      </c>
      <c r="T28" s="24">
        <f t="shared" si="10"/>
        <v>1</v>
      </c>
      <c r="U28" s="24">
        <f t="shared" si="10"/>
        <v>0</v>
      </c>
      <c r="V28" s="25">
        <f t="shared" si="10"/>
        <v>48</v>
      </c>
      <c r="W28" s="26">
        <f t="shared" si="10"/>
        <v>137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72</v>
      </c>
      <c r="AB28" s="28">
        <f>AVERAGE(AB6:AB27)</f>
        <v>0.56061095782420178</v>
      </c>
      <c r="AC28" s="4">
        <f>AVERAGE(AC6:AC27)</f>
        <v>0.47916666666666674</v>
      </c>
      <c r="AD28" s="4">
        <f>AVERAGE(AD6:AD27)</f>
        <v>0.4888129919613956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532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533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385" t="s">
        <v>46</v>
      </c>
      <c r="D57" s="385" t="s">
        <v>47</v>
      </c>
      <c r="E57" s="385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385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43" t="s">
        <v>116</v>
      </c>
      <c r="B58" s="533"/>
      <c r="C58" s="388" t="s">
        <v>161</v>
      </c>
      <c r="D58" s="388" t="s">
        <v>122</v>
      </c>
      <c r="E58" s="388" t="s">
        <v>522</v>
      </c>
      <c r="F58" s="530" t="s">
        <v>124</v>
      </c>
      <c r="G58" s="531"/>
      <c r="H58" s="531"/>
      <c r="I58" s="531"/>
      <c r="J58" s="531"/>
      <c r="K58" s="531"/>
      <c r="L58" s="531"/>
      <c r="M58" s="532"/>
      <c r="N58" s="387" t="s">
        <v>116</v>
      </c>
      <c r="O58" s="393" t="s">
        <v>161</v>
      </c>
      <c r="P58" s="544" t="s">
        <v>122</v>
      </c>
      <c r="Q58" s="545"/>
      <c r="R58" s="544" t="s">
        <v>531</v>
      </c>
      <c r="S58" s="546"/>
      <c r="T58" s="546"/>
      <c r="U58" s="545"/>
      <c r="V58" s="517" t="s">
        <v>124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43" t="s">
        <v>138</v>
      </c>
      <c r="B59" s="533"/>
      <c r="C59" s="388" t="s">
        <v>164</v>
      </c>
      <c r="D59" s="388"/>
      <c r="E59" s="388" t="s">
        <v>523</v>
      </c>
      <c r="F59" s="530" t="s">
        <v>124</v>
      </c>
      <c r="G59" s="531"/>
      <c r="H59" s="531"/>
      <c r="I59" s="531"/>
      <c r="J59" s="531"/>
      <c r="K59" s="531"/>
      <c r="L59" s="531"/>
      <c r="M59" s="532"/>
      <c r="N59" s="387" t="s">
        <v>112</v>
      </c>
      <c r="O59" s="393" t="s">
        <v>287</v>
      </c>
      <c r="P59" s="544" t="s">
        <v>115</v>
      </c>
      <c r="Q59" s="545"/>
      <c r="R59" s="544" t="s">
        <v>524</v>
      </c>
      <c r="S59" s="546"/>
      <c r="T59" s="546"/>
      <c r="U59" s="545"/>
      <c r="V59" s="517" t="s">
        <v>120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112</v>
      </c>
      <c r="B60" s="533"/>
      <c r="C60" s="388" t="s">
        <v>287</v>
      </c>
      <c r="D60" s="388" t="s">
        <v>115</v>
      </c>
      <c r="E60" s="388" t="s">
        <v>524</v>
      </c>
      <c r="F60" s="530" t="s">
        <v>505</v>
      </c>
      <c r="G60" s="531"/>
      <c r="H60" s="531"/>
      <c r="I60" s="531"/>
      <c r="J60" s="531"/>
      <c r="K60" s="531"/>
      <c r="L60" s="531"/>
      <c r="M60" s="532"/>
      <c r="N60" s="387" t="s">
        <v>112</v>
      </c>
      <c r="O60" s="393" t="s">
        <v>346</v>
      </c>
      <c r="P60" s="544" t="s">
        <v>115</v>
      </c>
      <c r="Q60" s="545"/>
      <c r="R60" s="544" t="s">
        <v>413</v>
      </c>
      <c r="S60" s="546"/>
      <c r="T60" s="546"/>
      <c r="U60" s="545"/>
      <c r="V60" s="517" t="s">
        <v>120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112</v>
      </c>
      <c r="B61" s="533"/>
      <c r="C61" s="388" t="s">
        <v>346</v>
      </c>
      <c r="D61" s="388" t="s">
        <v>115</v>
      </c>
      <c r="E61" s="388" t="s">
        <v>413</v>
      </c>
      <c r="F61" s="530" t="s">
        <v>402</v>
      </c>
      <c r="G61" s="531"/>
      <c r="H61" s="531"/>
      <c r="I61" s="531"/>
      <c r="J61" s="531"/>
      <c r="K61" s="531"/>
      <c r="L61" s="531"/>
      <c r="M61" s="532"/>
      <c r="N61" s="387" t="s">
        <v>116</v>
      </c>
      <c r="O61" s="393" t="s">
        <v>195</v>
      </c>
      <c r="P61" s="544" t="s">
        <v>115</v>
      </c>
      <c r="Q61" s="545"/>
      <c r="R61" s="544" t="s">
        <v>534</v>
      </c>
      <c r="S61" s="546"/>
      <c r="T61" s="546"/>
      <c r="U61" s="545"/>
      <c r="V61" s="517" t="s">
        <v>124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/>
      <c r="B62" s="533"/>
      <c r="C62" s="388"/>
      <c r="D62" s="388"/>
      <c r="E62" s="388"/>
      <c r="F62" s="530"/>
      <c r="G62" s="531"/>
      <c r="H62" s="531"/>
      <c r="I62" s="531"/>
      <c r="J62" s="531"/>
      <c r="K62" s="531"/>
      <c r="L62" s="531"/>
      <c r="M62" s="532"/>
      <c r="N62" s="387" t="s">
        <v>116</v>
      </c>
      <c r="O62" s="393" t="s">
        <v>230</v>
      </c>
      <c r="P62" s="544" t="s">
        <v>127</v>
      </c>
      <c r="Q62" s="545"/>
      <c r="R62" s="544" t="s">
        <v>535</v>
      </c>
      <c r="S62" s="546"/>
      <c r="T62" s="546"/>
      <c r="U62" s="545"/>
      <c r="V62" s="517" t="s">
        <v>124</v>
      </c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/>
      <c r="B63" s="533"/>
      <c r="C63" s="388"/>
      <c r="D63" s="388"/>
      <c r="E63" s="388"/>
      <c r="F63" s="530"/>
      <c r="G63" s="531"/>
      <c r="H63" s="531"/>
      <c r="I63" s="531"/>
      <c r="J63" s="531"/>
      <c r="K63" s="531"/>
      <c r="L63" s="531"/>
      <c r="M63" s="532"/>
      <c r="N63" s="387"/>
      <c r="O63" s="393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388"/>
      <c r="D64" s="388"/>
      <c r="E64" s="388"/>
      <c r="F64" s="530"/>
      <c r="G64" s="531"/>
      <c r="H64" s="531"/>
      <c r="I64" s="531"/>
      <c r="J64" s="531"/>
      <c r="K64" s="531"/>
      <c r="L64" s="531"/>
      <c r="M64" s="532"/>
      <c r="N64" s="387"/>
      <c r="O64" s="393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386"/>
      <c r="D65" s="386"/>
      <c r="E65" s="388"/>
      <c r="F65" s="530"/>
      <c r="G65" s="531"/>
      <c r="H65" s="531"/>
      <c r="I65" s="531"/>
      <c r="J65" s="531"/>
      <c r="K65" s="531"/>
      <c r="L65" s="531"/>
      <c r="M65" s="532"/>
      <c r="N65" s="387"/>
      <c r="O65" s="393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386"/>
      <c r="D66" s="386"/>
      <c r="E66" s="388"/>
      <c r="F66" s="530"/>
      <c r="G66" s="531"/>
      <c r="H66" s="531"/>
      <c r="I66" s="531"/>
      <c r="J66" s="531"/>
      <c r="K66" s="531"/>
      <c r="L66" s="531"/>
      <c r="M66" s="532"/>
      <c r="N66" s="387"/>
      <c r="O66" s="393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389"/>
      <c r="D67" s="390"/>
      <c r="E67" s="389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536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391" t="s">
        <v>2</v>
      </c>
      <c r="D69" s="391" t="s">
        <v>37</v>
      </c>
      <c r="E69" s="391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391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 t="s">
        <v>116</v>
      </c>
      <c r="D70" s="395"/>
      <c r="E70" s="392" t="s">
        <v>127</v>
      </c>
      <c r="F70" s="518" t="s">
        <v>537</v>
      </c>
      <c r="G70" s="519"/>
      <c r="H70" s="519"/>
      <c r="I70" s="519"/>
      <c r="J70" s="520"/>
      <c r="K70" s="504" t="s">
        <v>424</v>
      </c>
      <c r="L70" s="504"/>
      <c r="M70" s="51" t="s">
        <v>316</v>
      </c>
      <c r="N70" s="515" t="s">
        <v>307</v>
      </c>
      <c r="O70" s="515"/>
      <c r="P70" s="516"/>
      <c r="Q70" s="516"/>
      <c r="R70" s="517" t="s">
        <v>538</v>
      </c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 t="s">
        <v>116</v>
      </c>
      <c r="D71" s="395"/>
      <c r="E71" s="392" t="s">
        <v>127</v>
      </c>
      <c r="F71" s="518" t="s">
        <v>439</v>
      </c>
      <c r="G71" s="519"/>
      <c r="H71" s="519"/>
      <c r="I71" s="519"/>
      <c r="J71" s="520"/>
      <c r="K71" s="504" t="s">
        <v>440</v>
      </c>
      <c r="L71" s="504"/>
      <c r="M71" s="51" t="s">
        <v>216</v>
      </c>
      <c r="N71" s="515" t="s">
        <v>201</v>
      </c>
      <c r="O71" s="515"/>
      <c r="P71" s="516">
        <v>100</v>
      </c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 t="s">
        <v>116</v>
      </c>
      <c r="D72" s="395"/>
      <c r="E72" s="392" t="s">
        <v>122</v>
      </c>
      <c r="F72" s="518" t="s">
        <v>539</v>
      </c>
      <c r="G72" s="519"/>
      <c r="H72" s="519"/>
      <c r="I72" s="519"/>
      <c r="J72" s="520"/>
      <c r="K72" s="504" t="s">
        <v>140</v>
      </c>
      <c r="L72" s="504"/>
      <c r="M72" s="51" t="s">
        <v>316</v>
      </c>
      <c r="N72" s="515" t="s">
        <v>201</v>
      </c>
      <c r="O72" s="515"/>
      <c r="P72" s="516"/>
      <c r="Q72" s="516"/>
      <c r="R72" s="517" t="s">
        <v>540</v>
      </c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/>
      <c r="D73" s="395"/>
      <c r="E73" s="392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/>
      <c r="D74" s="395"/>
      <c r="E74" s="392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/>
      <c r="D75" s="395"/>
      <c r="E75" s="392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/>
      <c r="D76" s="395"/>
      <c r="E76" s="392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395"/>
      <c r="E77" s="392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395"/>
      <c r="E78" s="392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395"/>
      <c r="E79" s="392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541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394" t="s">
        <v>2</v>
      </c>
      <c r="D81" s="394" t="s">
        <v>37</v>
      </c>
      <c r="E81" s="394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396"/>
      <c r="D82" s="396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395"/>
      <c r="D83" s="395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1">A83+1</f>
        <v>3</v>
      </c>
      <c r="B84" s="472"/>
      <c r="C84" s="395"/>
      <c r="D84" s="395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1"/>
        <v>4</v>
      </c>
      <c r="B85" s="472"/>
      <c r="C85" s="395"/>
      <c r="D85" s="395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1"/>
        <v>5</v>
      </c>
      <c r="B86" s="472"/>
      <c r="C86" s="395"/>
      <c r="D86" s="395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1"/>
        <v>6</v>
      </c>
      <c r="B87" s="472"/>
      <c r="C87" s="395"/>
      <c r="D87" s="395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1"/>
        <v>7</v>
      </c>
      <c r="B88" s="472"/>
      <c r="C88" s="395"/>
      <c r="D88" s="395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542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>
        <v>1900000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3" max="29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20C6-3EBF-4977-8AA9-F1F0E37FF2FF}">
  <sheetPr>
    <pageSetUpPr fitToPage="1"/>
  </sheetPr>
  <dimension ref="A1:AF94"/>
  <sheetViews>
    <sheetView view="pageBreakPreview" zoomScale="70" zoomScaleNormal="72" zoomScaleSheetLayoutView="70" workbookViewId="0">
      <selection activeCell="A91" sqref="A91:B91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543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409" t="s">
        <v>17</v>
      </c>
      <c r="L5" s="409" t="s">
        <v>18</v>
      </c>
      <c r="M5" s="409" t="s">
        <v>19</v>
      </c>
      <c r="N5" s="40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476</v>
      </c>
      <c r="C6" s="34" t="s">
        <v>112</v>
      </c>
      <c r="D6" s="52" t="s">
        <v>475</v>
      </c>
      <c r="E6" s="53" t="s">
        <v>454</v>
      </c>
      <c r="F6" s="30" t="s">
        <v>141</v>
      </c>
      <c r="G6" s="12">
        <v>1</v>
      </c>
      <c r="H6" s="13">
        <v>24</v>
      </c>
      <c r="I6" s="31">
        <v>150</v>
      </c>
      <c r="J6" s="14">
        <v>150</v>
      </c>
      <c r="K6" s="15">
        <f>L6+150</f>
        <v>150</v>
      </c>
      <c r="L6" s="15"/>
      <c r="M6" s="15">
        <f t="shared" ref="M6:M28" si="0">L6-N6</f>
        <v>0</v>
      </c>
      <c r="N6" s="15">
        <v>0</v>
      </c>
      <c r="O6" s="58" t="str">
        <f t="shared" ref="O6:O29" si="1">IF(L6=0,"0",N6/L6)</f>
        <v>0</v>
      </c>
      <c r="P6" s="39" t="str">
        <f t="shared" ref="P6:P28" si="2">IF(L6=0,"0",(24-Q6))</f>
        <v>0</v>
      </c>
      <c r="Q6" s="40">
        <f t="shared" ref="Q6:Q28" si="3">SUM(R6:AA6)</f>
        <v>24</v>
      </c>
      <c r="R6" s="7"/>
      <c r="S6" s="6"/>
      <c r="T6" s="16"/>
      <c r="U6" s="16"/>
      <c r="V6" s="17"/>
      <c r="W6" s="5"/>
      <c r="X6" s="16"/>
      <c r="Y6" s="16"/>
      <c r="Z6" s="16"/>
      <c r="AA6" s="18">
        <v>24</v>
      </c>
      <c r="AB6" s="8">
        <f t="shared" ref="AB6:AB28" si="4">IF(J6=0,"0",(L6/J6))</f>
        <v>0</v>
      </c>
      <c r="AC6" s="9">
        <f t="shared" ref="AC6:AC28" si="5">IF(P6=0,"0",(P6/24))</f>
        <v>0</v>
      </c>
      <c r="AD6" s="10">
        <f t="shared" ref="AD6:AD28" si="6">AC6*AB6*(1-O6)</f>
        <v>0</v>
      </c>
      <c r="AE6" s="36">
        <f t="shared" ref="AE6:AE28" si="7">$AD$29</f>
        <v>0.48369565217391297</v>
      </c>
      <c r="AF6" s="84">
        <f t="shared" ref="AF6:AF28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180000</v>
      </c>
      <c r="J7" s="14">
        <v>5528</v>
      </c>
      <c r="K7" s="15">
        <f>L7+4540+5413+4776+3810+3773+2780+4786+5910</f>
        <v>41316</v>
      </c>
      <c r="L7" s="15">
        <f>2505+3023</f>
        <v>5528</v>
      </c>
      <c r="M7" s="15">
        <f t="shared" si="0"/>
        <v>5528</v>
      </c>
      <c r="N7" s="15">
        <v>0</v>
      </c>
      <c r="O7" s="58">
        <f t="shared" si="1"/>
        <v>0</v>
      </c>
      <c r="P7" s="39">
        <f t="shared" si="2"/>
        <v>22</v>
      </c>
      <c r="Q7" s="40">
        <f t="shared" si="3"/>
        <v>2</v>
      </c>
      <c r="R7" s="7"/>
      <c r="S7" s="6">
        <v>2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0.91666666666666663</v>
      </c>
      <c r="AD7" s="10">
        <f t="shared" si="6"/>
        <v>0.91666666666666663</v>
      </c>
      <c r="AE7" s="36">
        <f t="shared" si="7"/>
        <v>0.48369565217391297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180000</v>
      </c>
      <c r="J8" s="14">
        <v>11840</v>
      </c>
      <c r="K8" s="15">
        <f>L8+8132+2262+5886+10522+11854+11762+11766+11818+11592+5898+11758+11820+11712+11856+11816+5182+6610+11708</f>
        <v>185794</v>
      </c>
      <c r="L8" s="15">
        <f>2925*2+2995*2</f>
        <v>11840</v>
      </c>
      <c r="M8" s="15">
        <f t="shared" si="0"/>
        <v>11840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0.48369565217391297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180000</v>
      </c>
      <c r="J9" s="14">
        <v>11670</v>
      </c>
      <c r="K9" s="15">
        <f>L9+10280+10788+10818+10814+11584+6366+11696+11770+11638+11800+8836+5222+10904+11636</f>
        <v>155822</v>
      </c>
      <c r="L9" s="15">
        <f>2910*2+2925*2</f>
        <v>11670</v>
      </c>
      <c r="M9" s="15">
        <f t="shared" si="0"/>
        <v>11670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0.48369565217391297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116</v>
      </c>
      <c r="D10" s="52" t="s">
        <v>127</v>
      </c>
      <c r="E10" s="53" t="s">
        <v>535</v>
      </c>
      <c r="F10" s="30" t="s">
        <v>130</v>
      </c>
      <c r="G10" s="33">
        <v>1</v>
      </c>
      <c r="H10" s="35">
        <v>24</v>
      </c>
      <c r="I10" s="7">
        <v>2000</v>
      </c>
      <c r="J10" s="14">
        <v>4709</v>
      </c>
      <c r="K10" s="15">
        <f>L10</f>
        <v>4709</v>
      </c>
      <c r="L10" s="15">
        <f>2452+2257</f>
        <v>4709</v>
      </c>
      <c r="M10" s="15">
        <f t="shared" si="0"/>
        <v>4709</v>
      </c>
      <c r="N10" s="15">
        <v>0</v>
      </c>
      <c r="O10" s="58">
        <f t="shared" si="1"/>
        <v>0</v>
      </c>
      <c r="P10" s="39">
        <f t="shared" si="2"/>
        <v>23</v>
      </c>
      <c r="Q10" s="40">
        <f t="shared" si="3"/>
        <v>1</v>
      </c>
      <c r="R10" s="7"/>
      <c r="S10" s="6"/>
      <c r="T10" s="16">
        <v>1</v>
      </c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0.95833333333333337</v>
      </c>
      <c r="AD10" s="10">
        <f t="shared" si="6"/>
        <v>0.95833333333333337</v>
      </c>
      <c r="AE10" s="36">
        <f t="shared" si="7"/>
        <v>0.48369565217391297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123</v>
      </c>
      <c r="E11" s="53" t="s">
        <v>468</v>
      </c>
      <c r="F11" s="30" t="s">
        <v>128</v>
      </c>
      <c r="G11" s="33">
        <v>1</v>
      </c>
      <c r="H11" s="35">
        <v>24</v>
      </c>
      <c r="I11" s="7">
        <v>10000</v>
      </c>
      <c r="J11" s="14">
        <v>5873</v>
      </c>
      <c r="K11" s="15">
        <f>L11+3886+6407+2878+5873</f>
        <v>19044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/>
      <c r="X11" s="16"/>
      <c r="Y11" s="16"/>
      <c r="Z11" s="16"/>
      <c r="AA11" s="18">
        <v>24</v>
      </c>
      <c r="AB11" s="8">
        <f t="shared" si="4"/>
        <v>0</v>
      </c>
      <c r="AC11" s="9">
        <f t="shared" si="5"/>
        <v>0</v>
      </c>
      <c r="AD11" s="10">
        <f t="shared" si="6"/>
        <v>0</v>
      </c>
      <c r="AE11" s="36">
        <f t="shared" si="7"/>
        <v>0.48369565217391297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115</v>
      </c>
      <c r="E12" s="53" t="s">
        <v>524</v>
      </c>
      <c r="F12" s="30" t="s">
        <v>128</v>
      </c>
      <c r="G12" s="12">
        <v>1</v>
      </c>
      <c r="H12" s="13">
        <v>22</v>
      </c>
      <c r="I12" s="31">
        <v>6200</v>
      </c>
      <c r="J12" s="5">
        <v>2100</v>
      </c>
      <c r="K12" s="15">
        <f>L12</f>
        <v>2100</v>
      </c>
      <c r="L12" s="15">
        <f>2100</f>
        <v>2100</v>
      </c>
      <c r="M12" s="15">
        <f t="shared" si="0"/>
        <v>2100</v>
      </c>
      <c r="N12" s="15">
        <v>0</v>
      </c>
      <c r="O12" s="58">
        <f t="shared" si="1"/>
        <v>0</v>
      </c>
      <c r="P12" s="39">
        <f t="shared" si="2"/>
        <v>11</v>
      </c>
      <c r="Q12" s="40">
        <f t="shared" si="3"/>
        <v>13</v>
      </c>
      <c r="R12" s="7"/>
      <c r="S12" s="6">
        <v>13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0.45833333333333331</v>
      </c>
      <c r="AD12" s="10">
        <f t="shared" si="6"/>
        <v>0.45833333333333331</v>
      </c>
      <c r="AE12" s="36">
        <f t="shared" si="7"/>
        <v>0.48369565217391297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116</v>
      </c>
      <c r="D13" s="52" t="s">
        <v>115</v>
      </c>
      <c r="E13" s="53" t="s">
        <v>534</v>
      </c>
      <c r="F13" s="30" t="s">
        <v>544</v>
      </c>
      <c r="G13" s="33">
        <v>1</v>
      </c>
      <c r="H13" s="35">
        <v>35</v>
      </c>
      <c r="I13" s="7">
        <v>2000</v>
      </c>
      <c r="J13" s="14">
        <v>4017</v>
      </c>
      <c r="K13" s="15">
        <f>L13</f>
        <v>4017</v>
      </c>
      <c r="L13" s="15">
        <f>1980+2037</f>
        <v>4017</v>
      </c>
      <c r="M13" s="15">
        <f t="shared" si="0"/>
        <v>4017</v>
      </c>
      <c r="N13" s="15">
        <v>0</v>
      </c>
      <c r="O13" s="58">
        <f t="shared" si="1"/>
        <v>0</v>
      </c>
      <c r="P13" s="39">
        <f t="shared" si="2"/>
        <v>23</v>
      </c>
      <c r="Q13" s="40">
        <f t="shared" si="3"/>
        <v>1</v>
      </c>
      <c r="R13" s="7"/>
      <c r="S13" s="6"/>
      <c r="T13" s="16">
        <v>1</v>
      </c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0.95833333333333337</v>
      </c>
      <c r="AD13" s="10">
        <f t="shared" si="6"/>
        <v>0.95833333333333337</v>
      </c>
      <c r="AE13" s="36">
        <f t="shared" si="7"/>
        <v>0.48369565217391297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232</v>
      </c>
      <c r="D14" s="52" t="s">
        <v>477</v>
      </c>
      <c r="E14" s="53" t="s">
        <v>469</v>
      </c>
      <c r="F14" s="30" t="s">
        <v>171</v>
      </c>
      <c r="G14" s="33">
        <v>1</v>
      </c>
      <c r="H14" s="35">
        <v>50</v>
      </c>
      <c r="I14" s="7">
        <v>700</v>
      </c>
      <c r="J14" s="5">
        <v>750</v>
      </c>
      <c r="K14" s="15">
        <f>L14+750</f>
        <v>750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0.48369565217391297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52000</v>
      </c>
      <c r="J15" s="14">
        <v>17004</v>
      </c>
      <c r="K15" s="15">
        <f>L15</f>
        <v>17004</v>
      </c>
      <c r="L15" s="15">
        <f>1104*4+3147*4</f>
        <v>17004</v>
      </c>
      <c r="M15" s="15">
        <f t="shared" si="0"/>
        <v>17004</v>
      </c>
      <c r="N15" s="15">
        <v>0</v>
      </c>
      <c r="O15" s="58">
        <f t="shared" si="1"/>
        <v>0</v>
      </c>
      <c r="P15" s="39">
        <f t="shared" si="2"/>
        <v>19</v>
      </c>
      <c r="Q15" s="40">
        <f t="shared" si="3"/>
        <v>5</v>
      </c>
      <c r="R15" s="7"/>
      <c r="S15" s="6"/>
      <c r="T15" s="16">
        <v>5</v>
      </c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0.79166666666666663</v>
      </c>
      <c r="AD15" s="10">
        <f t="shared" si="6"/>
        <v>0.79166666666666663</v>
      </c>
      <c r="AE15" s="36">
        <f t="shared" si="7"/>
        <v>0.48369565217391297</v>
      </c>
      <c r="AF15" s="84">
        <f t="shared" si="8"/>
        <v>10</v>
      </c>
    </row>
    <row r="16" spans="1:32" ht="27" customHeight="1">
      <c r="A16" s="112">
        <v>11</v>
      </c>
      <c r="B16" s="11" t="s">
        <v>57</v>
      </c>
      <c r="C16" s="34" t="s">
        <v>112</v>
      </c>
      <c r="D16" s="52" t="s">
        <v>137</v>
      </c>
      <c r="E16" s="53" t="s">
        <v>433</v>
      </c>
      <c r="F16" s="30" t="s">
        <v>140</v>
      </c>
      <c r="G16" s="12">
        <v>1</v>
      </c>
      <c r="H16" s="13">
        <v>24</v>
      </c>
      <c r="I16" s="7">
        <v>22000</v>
      </c>
      <c r="J16" s="14">
        <v>1213</v>
      </c>
      <c r="K16" s="15">
        <f>L16+4843+5487+5445+2411+4988+5183</f>
        <v>29570</v>
      </c>
      <c r="L16" s="15">
        <v>1213</v>
      </c>
      <c r="M16" s="15">
        <f t="shared" ref="M16" si="9">L16-N16</f>
        <v>1213</v>
      </c>
      <c r="N16" s="15">
        <v>0</v>
      </c>
      <c r="O16" s="58">
        <f t="shared" ref="O16" si="10">IF(L16=0,"0",N16/L16)</f>
        <v>0</v>
      </c>
      <c r="P16" s="39">
        <f t="shared" ref="P16" si="11">IF(L16=0,"0",(24-Q16))</f>
        <v>6</v>
      </c>
      <c r="Q16" s="40">
        <f t="shared" ref="Q16" si="12">SUM(R16:AA16)</f>
        <v>18</v>
      </c>
      <c r="R16" s="7"/>
      <c r="S16" s="6"/>
      <c r="T16" s="16"/>
      <c r="U16" s="16"/>
      <c r="V16" s="17"/>
      <c r="W16" s="5">
        <v>18</v>
      </c>
      <c r="X16" s="16"/>
      <c r="Y16" s="16"/>
      <c r="Z16" s="16"/>
      <c r="AA16" s="18"/>
      <c r="AB16" s="8">
        <f t="shared" ref="AB16" si="13">IF(J16=0,"0",(L16/J16))</f>
        <v>1</v>
      </c>
      <c r="AC16" s="9">
        <f t="shared" ref="AC16" si="14">IF(P16=0,"0",(P16/24))</f>
        <v>0.25</v>
      </c>
      <c r="AD16" s="10">
        <f t="shared" ref="AD16" si="15">AC16*AB16*(1-O16)</f>
        <v>0.25</v>
      </c>
      <c r="AE16" s="36">
        <f t="shared" si="7"/>
        <v>0.48369565217391297</v>
      </c>
      <c r="AF16" s="84">
        <f t="shared" ref="AF16" si="16">A16</f>
        <v>11</v>
      </c>
    </row>
    <row r="17" spans="1:32" ht="27" customHeight="1">
      <c r="A17" s="112">
        <v>11</v>
      </c>
      <c r="B17" s="11" t="s">
        <v>57</v>
      </c>
      <c r="C17" s="34" t="s">
        <v>112</v>
      </c>
      <c r="D17" s="52" t="s">
        <v>115</v>
      </c>
      <c r="E17" s="53" t="s">
        <v>260</v>
      </c>
      <c r="F17" s="30" t="s">
        <v>128</v>
      </c>
      <c r="G17" s="12">
        <v>1</v>
      </c>
      <c r="H17" s="13">
        <v>24</v>
      </c>
      <c r="I17" s="7">
        <v>22000</v>
      </c>
      <c r="J17" s="14">
        <v>3583</v>
      </c>
      <c r="K17" s="15">
        <f>L17</f>
        <v>3583</v>
      </c>
      <c r="L17" s="15">
        <f>946+2637</f>
        <v>3583</v>
      </c>
      <c r="M17" s="15">
        <f t="shared" si="0"/>
        <v>3583</v>
      </c>
      <c r="N17" s="15">
        <v>0</v>
      </c>
      <c r="O17" s="58">
        <f t="shared" si="1"/>
        <v>0</v>
      </c>
      <c r="P17" s="39">
        <f t="shared" si="2"/>
        <v>17</v>
      </c>
      <c r="Q17" s="40">
        <f t="shared" si="3"/>
        <v>7</v>
      </c>
      <c r="R17" s="7"/>
      <c r="S17" s="6"/>
      <c r="T17" s="16">
        <v>7</v>
      </c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0.70833333333333337</v>
      </c>
      <c r="AD17" s="10">
        <f t="shared" si="6"/>
        <v>0.70833333333333337</v>
      </c>
      <c r="AE17" s="36">
        <f t="shared" si="7"/>
        <v>0.48369565217391297</v>
      </c>
      <c r="AF17" s="84">
        <f t="shared" si="8"/>
        <v>11</v>
      </c>
    </row>
    <row r="18" spans="1:32" ht="27" customHeight="1">
      <c r="A18" s="95">
        <v>12</v>
      </c>
      <c r="B18" s="11" t="s">
        <v>57</v>
      </c>
      <c r="C18" s="34" t="s">
        <v>138</v>
      </c>
      <c r="D18" s="52"/>
      <c r="E18" s="53" t="s">
        <v>523</v>
      </c>
      <c r="F18" s="30" t="s">
        <v>530</v>
      </c>
      <c r="G18" s="12">
        <v>5</v>
      </c>
      <c r="H18" s="13">
        <v>24</v>
      </c>
      <c r="I18" s="7">
        <v>200000</v>
      </c>
      <c r="J18" s="14">
        <v>39325</v>
      </c>
      <c r="K18" s="15">
        <f>L18+26370</f>
        <v>65695</v>
      </c>
      <c r="L18" s="15">
        <f>3917*5+3948*5</f>
        <v>39325</v>
      </c>
      <c r="M18" s="15">
        <f t="shared" si="0"/>
        <v>39325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6"/>
        <v>1</v>
      </c>
      <c r="AE18" s="36">
        <f t="shared" si="7"/>
        <v>0.48369565217391297</v>
      </c>
      <c r="AF18" s="84">
        <f t="shared" si="8"/>
        <v>12</v>
      </c>
    </row>
    <row r="19" spans="1:32" ht="27" customHeight="1">
      <c r="A19" s="96">
        <v>13</v>
      </c>
      <c r="B19" s="11" t="s">
        <v>57</v>
      </c>
      <c r="C19" s="11" t="s">
        <v>112</v>
      </c>
      <c r="D19" s="52" t="s">
        <v>137</v>
      </c>
      <c r="E19" s="53" t="s">
        <v>191</v>
      </c>
      <c r="F19" s="30" t="s">
        <v>130</v>
      </c>
      <c r="G19" s="33">
        <v>1</v>
      </c>
      <c r="H19" s="35">
        <v>24</v>
      </c>
      <c r="I19" s="7">
        <v>180000</v>
      </c>
      <c r="J19" s="14">
        <v>4350</v>
      </c>
      <c r="K19" s="15">
        <f>L19+9952+11100+11616+11336+11468+11654+10384+11002+11590+11484+11300+9654+6186+11446+8364+11404+11256+4434+2660+10478+11296</f>
        <v>214414</v>
      </c>
      <c r="L19" s="15">
        <f>2175*2</f>
        <v>4350</v>
      </c>
      <c r="M19" s="15">
        <f t="shared" si="0"/>
        <v>4350</v>
      </c>
      <c r="N19" s="15">
        <v>0</v>
      </c>
      <c r="O19" s="58">
        <f t="shared" si="1"/>
        <v>0</v>
      </c>
      <c r="P19" s="39">
        <f t="shared" si="2"/>
        <v>7</v>
      </c>
      <c r="Q19" s="40">
        <f t="shared" si="3"/>
        <v>17</v>
      </c>
      <c r="R19" s="7"/>
      <c r="S19" s="6"/>
      <c r="T19" s="16"/>
      <c r="U19" s="16"/>
      <c r="V19" s="17"/>
      <c r="W19" s="5">
        <v>17</v>
      </c>
      <c r="X19" s="16"/>
      <c r="Y19" s="16"/>
      <c r="Z19" s="16"/>
      <c r="AA19" s="18"/>
      <c r="AB19" s="8">
        <f t="shared" si="4"/>
        <v>1</v>
      </c>
      <c r="AC19" s="9">
        <f t="shared" si="5"/>
        <v>0.29166666666666669</v>
      </c>
      <c r="AD19" s="10">
        <f t="shared" si="6"/>
        <v>0.29166666666666669</v>
      </c>
      <c r="AE19" s="36">
        <f t="shared" si="7"/>
        <v>0.48369565217391297</v>
      </c>
      <c r="AF19" s="84">
        <f t="shared" si="8"/>
        <v>13</v>
      </c>
    </row>
    <row r="20" spans="1:32" ht="27" customHeight="1">
      <c r="A20" s="96">
        <v>14</v>
      </c>
      <c r="B20" s="11" t="s">
        <v>57</v>
      </c>
      <c r="C20" s="11" t="s">
        <v>116</v>
      </c>
      <c r="D20" s="52" t="s">
        <v>122</v>
      </c>
      <c r="E20" s="53" t="s">
        <v>531</v>
      </c>
      <c r="F20" s="30" t="s">
        <v>130</v>
      </c>
      <c r="G20" s="33">
        <v>1</v>
      </c>
      <c r="H20" s="35">
        <v>24</v>
      </c>
      <c r="I20" s="7">
        <v>2000</v>
      </c>
      <c r="J20" s="14">
        <v>3886</v>
      </c>
      <c r="K20" s="15">
        <f>L20</f>
        <v>3886</v>
      </c>
      <c r="L20" s="15">
        <f>2151+1735</f>
        <v>3886</v>
      </c>
      <c r="M20" s="15">
        <f t="shared" si="0"/>
        <v>3886</v>
      </c>
      <c r="N20" s="15">
        <v>0</v>
      </c>
      <c r="O20" s="58">
        <f t="shared" si="1"/>
        <v>0</v>
      </c>
      <c r="P20" s="39">
        <f t="shared" si="2"/>
        <v>22</v>
      </c>
      <c r="Q20" s="40">
        <f t="shared" si="3"/>
        <v>2</v>
      </c>
      <c r="R20" s="7"/>
      <c r="S20" s="6"/>
      <c r="T20" s="16">
        <v>2</v>
      </c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0.91666666666666663</v>
      </c>
      <c r="AD20" s="10">
        <f t="shared" si="6"/>
        <v>0.91666666666666663</v>
      </c>
      <c r="AE20" s="36">
        <f t="shared" si="7"/>
        <v>0.48369565217391297</v>
      </c>
      <c r="AF20" s="84">
        <f t="shared" si="8"/>
        <v>14</v>
      </c>
    </row>
    <row r="21" spans="1:32" ht="27" customHeight="1">
      <c r="A21" s="112">
        <v>15</v>
      </c>
      <c r="B21" s="11" t="s">
        <v>57</v>
      </c>
      <c r="C21" s="34" t="s">
        <v>112</v>
      </c>
      <c r="D21" s="52" t="s">
        <v>115</v>
      </c>
      <c r="E21" s="53" t="s">
        <v>178</v>
      </c>
      <c r="F21" s="30" t="s">
        <v>206</v>
      </c>
      <c r="G21" s="12">
        <v>1</v>
      </c>
      <c r="H21" s="13">
        <v>24</v>
      </c>
      <c r="I21" s="7">
        <v>230000</v>
      </c>
      <c r="J21" s="14">
        <v>8214</v>
      </c>
      <c r="K21" s="15">
        <f>L21+7008+11154+9077+8768+10676+10588+2521+7242+10236+10216+10614+10620+10632+10760+10206+10892+10136+10692+10896+9992+10630+10894+7459+6981+3140+4342+308+5171+4481</f>
        <v>254546</v>
      </c>
      <c r="L21" s="15">
        <f>1416*2+2691*2</f>
        <v>8214</v>
      </c>
      <c r="M21" s="15">
        <f t="shared" si="0"/>
        <v>8214</v>
      </c>
      <c r="N21" s="15">
        <v>0</v>
      </c>
      <c r="O21" s="58">
        <f t="shared" si="1"/>
        <v>0</v>
      </c>
      <c r="P21" s="39">
        <f t="shared" si="2"/>
        <v>21</v>
      </c>
      <c r="Q21" s="40">
        <f t="shared" si="3"/>
        <v>3</v>
      </c>
      <c r="R21" s="7"/>
      <c r="S21" s="6">
        <v>3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0.875</v>
      </c>
      <c r="AD21" s="10">
        <f t="shared" si="6"/>
        <v>0.875</v>
      </c>
      <c r="AE21" s="36">
        <f t="shared" si="7"/>
        <v>0.48369565217391297</v>
      </c>
      <c r="AF21" s="84">
        <f t="shared" si="8"/>
        <v>15</v>
      </c>
    </row>
    <row r="22" spans="1:32" ht="26.25" customHeight="1">
      <c r="A22" s="96">
        <v>16</v>
      </c>
      <c r="B22" s="11" t="s">
        <v>57</v>
      </c>
      <c r="C22" s="11" t="s">
        <v>113</v>
      </c>
      <c r="D22" s="52"/>
      <c r="E22" s="53" t="s">
        <v>134</v>
      </c>
      <c r="F22" s="12" t="s">
        <v>114</v>
      </c>
      <c r="G22" s="12">
        <v>4</v>
      </c>
      <c r="H22" s="35">
        <v>20</v>
      </c>
      <c r="I22" s="7">
        <v>1000000</v>
      </c>
      <c r="J22" s="14">
        <v>62116</v>
      </c>
      <c r="K22" s="15">
        <f>L22+50740+61508</f>
        <v>174364</v>
      </c>
      <c r="L22" s="15">
        <f>7877*4+7652*4</f>
        <v>62116</v>
      </c>
      <c r="M22" s="15">
        <f t="shared" si="0"/>
        <v>62116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6"/>
        <v>1</v>
      </c>
      <c r="AE22" s="36">
        <f t="shared" si="7"/>
        <v>0.48369565217391297</v>
      </c>
      <c r="AF22" s="84">
        <f t="shared" si="8"/>
        <v>16</v>
      </c>
    </row>
    <row r="23" spans="1:32" ht="18.75">
      <c r="A23" s="96">
        <v>31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0.48369565217391297</v>
      </c>
      <c r="AF23" s="84">
        <f t="shared" si="8"/>
        <v>31</v>
      </c>
    </row>
    <row r="24" spans="1:32" ht="18.75">
      <c r="A24" s="96">
        <v>32</v>
      </c>
      <c r="B24" s="11" t="s">
        <v>57</v>
      </c>
      <c r="C24" s="11"/>
      <c r="D24" s="52"/>
      <c r="E24" s="53"/>
      <c r="F24" s="12"/>
      <c r="G24" s="12"/>
      <c r="H24" s="35">
        <v>20</v>
      </c>
      <c r="I24" s="7"/>
      <c r="J24" s="14">
        <v>0</v>
      </c>
      <c r="K24" s="15">
        <f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>
        <v>24</v>
      </c>
      <c r="W24" s="5"/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0.48369565217391297</v>
      </c>
      <c r="AF24" s="84">
        <f t="shared" si="8"/>
        <v>32</v>
      </c>
    </row>
    <row r="25" spans="1:32" ht="18.75">
      <c r="A25" s="96">
        <v>33</v>
      </c>
      <c r="B25" s="11" t="s">
        <v>57</v>
      </c>
      <c r="C25" s="11" t="s">
        <v>116</v>
      </c>
      <c r="D25" s="52" t="s">
        <v>142</v>
      </c>
      <c r="E25" s="53" t="s">
        <v>146</v>
      </c>
      <c r="F25" s="12" t="s">
        <v>140</v>
      </c>
      <c r="G25" s="12">
        <v>1</v>
      </c>
      <c r="H25" s="35">
        <v>20</v>
      </c>
      <c r="I25" s="7">
        <v>140000</v>
      </c>
      <c r="J25" s="14">
        <v>3244</v>
      </c>
      <c r="K25" s="15">
        <f>L25+4387+7770+5806+7905+7479+7369+7360+2397+6904+7208+7013+6976+6992+2652+6495+7026+7051+7084+4297+6519+7042+3244</f>
        <v>136976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0.48369565217391297</v>
      </c>
      <c r="AF25" s="84">
        <f t="shared" si="8"/>
        <v>33</v>
      </c>
    </row>
    <row r="26" spans="1:32" ht="28.5">
      <c r="A26" s="96">
        <v>34</v>
      </c>
      <c r="B26" s="11" t="s">
        <v>57</v>
      </c>
      <c r="C26" s="11" t="s">
        <v>116</v>
      </c>
      <c r="D26" s="52" t="s">
        <v>142</v>
      </c>
      <c r="E26" s="53" t="s">
        <v>147</v>
      </c>
      <c r="F26" s="12" t="s">
        <v>131</v>
      </c>
      <c r="G26" s="12">
        <v>4</v>
      </c>
      <c r="H26" s="35">
        <v>20</v>
      </c>
      <c r="I26" s="7">
        <v>240000</v>
      </c>
      <c r="J26" s="14">
        <v>9988</v>
      </c>
      <c r="K26" s="15">
        <f>L26+24768+29084+29040+29804+27780+4064+26996+28972+25428+29132+9988</f>
        <v>265056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0.48369565217391297</v>
      </c>
      <c r="AF26" s="84">
        <f t="shared" si="8"/>
        <v>34</v>
      </c>
    </row>
    <row r="27" spans="1:32" ht="28.5">
      <c r="A27" s="96">
        <v>35</v>
      </c>
      <c r="B27" s="11" t="s">
        <v>57</v>
      </c>
      <c r="C27" s="11" t="s">
        <v>116</v>
      </c>
      <c r="D27" s="52" t="s">
        <v>122</v>
      </c>
      <c r="E27" s="53" t="s">
        <v>133</v>
      </c>
      <c r="F27" s="12" t="s">
        <v>131</v>
      </c>
      <c r="G27" s="12">
        <v>4</v>
      </c>
      <c r="H27" s="35">
        <v>20</v>
      </c>
      <c r="I27" s="7">
        <v>240000</v>
      </c>
      <c r="J27" s="14">
        <v>11600</v>
      </c>
      <c r="K27" s="15">
        <f>L27+25004+29968+31848+29672+31736+27000+29200+29420+29140+11600</f>
        <v>274588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0.48369565217391297</v>
      </c>
      <c r="AF27" s="84">
        <f t="shared" si="8"/>
        <v>35</v>
      </c>
    </row>
    <row r="28" spans="1:32" ht="19.5" thickBot="1">
      <c r="A28" s="96">
        <v>36</v>
      </c>
      <c r="B28" s="11" t="s">
        <v>57</v>
      </c>
      <c r="C28" s="11" t="s">
        <v>173</v>
      </c>
      <c r="D28" s="52"/>
      <c r="E28" s="53" t="s">
        <v>174</v>
      </c>
      <c r="F28" s="12" t="s">
        <v>175</v>
      </c>
      <c r="G28" s="12">
        <v>32</v>
      </c>
      <c r="H28" s="35">
        <v>20</v>
      </c>
      <c r="I28" s="7">
        <v>1300000</v>
      </c>
      <c r="J28" s="14">
        <v>199470</v>
      </c>
      <c r="K28" s="15">
        <f>L28+356070+486150+492600+465600+199470</f>
        <v>1999890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15</v>
      </c>
      <c r="R28" s="7"/>
      <c r="S28" s="6"/>
      <c r="T28" s="16"/>
      <c r="U28" s="16"/>
      <c r="V28" s="120"/>
      <c r="W28" s="5">
        <v>15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6"/>
        <v>0</v>
      </c>
      <c r="AE28" s="36">
        <f t="shared" si="7"/>
        <v>0.48369565217391297</v>
      </c>
      <c r="AF28" s="84">
        <f t="shared" si="8"/>
        <v>36</v>
      </c>
    </row>
    <row r="29" spans="1:32" ht="19.5" thickBot="1">
      <c r="A29" s="549" t="s">
        <v>34</v>
      </c>
      <c r="B29" s="550"/>
      <c r="C29" s="550"/>
      <c r="D29" s="550"/>
      <c r="E29" s="550"/>
      <c r="F29" s="550"/>
      <c r="G29" s="550"/>
      <c r="H29" s="551"/>
      <c r="I29" s="22">
        <f t="shared" ref="I29:N29" si="17">SUM(I6:I28)</f>
        <v>4189050</v>
      </c>
      <c r="J29" s="19">
        <f t="shared" si="17"/>
        <v>410630</v>
      </c>
      <c r="K29" s="20">
        <f t="shared" si="17"/>
        <v>3853274</v>
      </c>
      <c r="L29" s="21">
        <f t="shared" si="17"/>
        <v>179555</v>
      </c>
      <c r="M29" s="20">
        <f t="shared" si="17"/>
        <v>179555</v>
      </c>
      <c r="N29" s="21">
        <f t="shared" si="17"/>
        <v>0</v>
      </c>
      <c r="O29" s="41">
        <f t="shared" si="1"/>
        <v>0</v>
      </c>
      <c r="P29" s="42">
        <f t="shared" ref="P29:AA29" si="18">SUM(P6:P28)</f>
        <v>267</v>
      </c>
      <c r="Q29" s="43">
        <f t="shared" si="18"/>
        <v>276</v>
      </c>
      <c r="R29" s="23">
        <f t="shared" si="18"/>
        <v>0</v>
      </c>
      <c r="S29" s="24">
        <f t="shared" si="18"/>
        <v>18</v>
      </c>
      <c r="T29" s="24">
        <f t="shared" si="18"/>
        <v>16</v>
      </c>
      <c r="U29" s="24">
        <f t="shared" si="18"/>
        <v>0</v>
      </c>
      <c r="V29" s="25">
        <f t="shared" si="18"/>
        <v>48</v>
      </c>
      <c r="W29" s="26">
        <f t="shared" si="18"/>
        <v>146</v>
      </c>
      <c r="X29" s="27">
        <f t="shared" si="18"/>
        <v>0</v>
      </c>
      <c r="Y29" s="27">
        <f t="shared" si="18"/>
        <v>0</v>
      </c>
      <c r="Z29" s="27">
        <f t="shared" si="18"/>
        <v>0</v>
      </c>
      <c r="AA29" s="27">
        <f t="shared" si="18"/>
        <v>48</v>
      </c>
      <c r="AB29" s="28">
        <f>AVERAGE(AB6:AB28)</f>
        <v>0.66666666666666663</v>
      </c>
      <c r="AC29" s="4">
        <f>AVERAGE(AC6:AC28)</f>
        <v>0.48369565217391297</v>
      </c>
      <c r="AD29" s="4">
        <f>AVERAGE(AD6:AD28)</f>
        <v>0.48369565217391297</v>
      </c>
      <c r="AE29" s="29"/>
    </row>
    <row r="30" spans="1:32">
      <c r="T30" s="50" t="s">
        <v>143</v>
      </c>
    </row>
    <row r="31" spans="1:32" ht="18.75">
      <c r="A31" s="2"/>
      <c r="B31" s="2" t="s">
        <v>35</v>
      </c>
      <c r="C31" s="2"/>
      <c r="D31" s="2"/>
      <c r="E31" s="2"/>
      <c r="F31" s="2"/>
      <c r="G31" s="2"/>
      <c r="H31" s="3"/>
      <c r="I31" s="3"/>
      <c r="J31" s="2"/>
      <c r="K31" s="2"/>
      <c r="L31" s="2"/>
      <c r="M31" s="2"/>
      <c r="N31" s="2" t="s">
        <v>36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1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 t="s">
        <v>144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85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27">
      <c r="A46" s="59"/>
      <c r="B46" s="59"/>
      <c r="C46" s="59"/>
      <c r="D46" s="59"/>
      <c r="E46" s="59"/>
      <c r="F46" s="37"/>
      <c r="G46" s="37"/>
      <c r="H46" s="38"/>
      <c r="I46" s="38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F46" s="50"/>
    </row>
    <row r="47" spans="1:32" ht="29.25" customHeight="1">
      <c r="A47" s="60"/>
      <c r="B47" s="60"/>
      <c r="C47" s="61"/>
      <c r="D47" s="61"/>
      <c r="E47" s="61"/>
      <c r="F47" s="60"/>
      <c r="G47" s="60"/>
      <c r="H47" s="60"/>
      <c r="I47" s="60"/>
      <c r="J47" s="60"/>
      <c r="K47" s="60"/>
      <c r="L47" s="60"/>
      <c r="M47" s="61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4.2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36" thickBot="1">
      <c r="A56" s="552" t="s">
        <v>45</v>
      </c>
      <c r="B56" s="552"/>
      <c r="C56" s="552"/>
      <c r="D56" s="552"/>
      <c r="E56" s="552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26.25" thickBot="1">
      <c r="A57" s="553" t="s">
        <v>545</v>
      </c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5"/>
      <c r="N57" s="556" t="s">
        <v>548</v>
      </c>
      <c r="O57" s="557"/>
      <c r="P57" s="557"/>
      <c r="Q57" s="557"/>
      <c r="R57" s="557"/>
      <c r="S57" s="557"/>
      <c r="T57" s="557"/>
      <c r="U57" s="557"/>
      <c r="V57" s="557"/>
      <c r="W57" s="557"/>
      <c r="X57" s="557"/>
      <c r="Y57" s="557"/>
      <c r="Z57" s="557"/>
      <c r="AA57" s="557"/>
      <c r="AB57" s="557"/>
      <c r="AC57" s="557"/>
      <c r="AD57" s="558"/>
    </row>
    <row r="58" spans="1:32" ht="27" customHeight="1">
      <c r="A58" s="559" t="s">
        <v>2</v>
      </c>
      <c r="B58" s="560"/>
      <c r="C58" s="408" t="s">
        <v>46</v>
      </c>
      <c r="D58" s="408" t="s">
        <v>47</v>
      </c>
      <c r="E58" s="408" t="s">
        <v>107</v>
      </c>
      <c r="F58" s="561" t="s">
        <v>106</v>
      </c>
      <c r="G58" s="562"/>
      <c r="H58" s="562"/>
      <c r="I58" s="562"/>
      <c r="J58" s="562"/>
      <c r="K58" s="562"/>
      <c r="L58" s="562"/>
      <c r="M58" s="563"/>
      <c r="N58" s="67" t="s">
        <v>110</v>
      </c>
      <c r="O58" s="408" t="s">
        <v>46</v>
      </c>
      <c r="P58" s="561" t="s">
        <v>47</v>
      </c>
      <c r="Q58" s="564"/>
      <c r="R58" s="561" t="s">
        <v>38</v>
      </c>
      <c r="S58" s="562"/>
      <c r="T58" s="562"/>
      <c r="U58" s="564"/>
      <c r="V58" s="561" t="s">
        <v>48</v>
      </c>
      <c r="W58" s="562"/>
      <c r="X58" s="562"/>
      <c r="Y58" s="562"/>
      <c r="Z58" s="562"/>
      <c r="AA58" s="562"/>
      <c r="AB58" s="562"/>
      <c r="AC58" s="562"/>
      <c r="AD58" s="563"/>
    </row>
    <row r="59" spans="1:32" ht="27" customHeight="1">
      <c r="A59" s="543" t="s">
        <v>138</v>
      </c>
      <c r="B59" s="533"/>
      <c r="C59" s="404" t="s">
        <v>217</v>
      </c>
      <c r="D59" s="404" t="s">
        <v>142</v>
      </c>
      <c r="E59" s="404" t="s">
        <v>241</v>
      </c>
      <c r="F59" s="530" t="s">
        <v>209</v>
      </c>
      <c r="G59" s="531"/>
      <c r="H59" s="531"/>
      <c r="I59" s="531"/>
      <c r="J59" s="531"/>
      <c r="K59" s="531"/>
      <c r="L59" s="531"/>
      <c r="M59" s="532"/>
      <c r="N59" s="407" t="s">
        <v>116</v>
      </c>
      <c r="O59" s="401" t="s">
        <v>230</v>
      </c>
      <c r="P59" s="544" t="s">
        <v>434</v>
      </c>
      <c r="Q59" s="545"/>
      <c r="R59" s="544" t="s">
        <v>549</v>
      </c>
      <c r="S59" s="546"/>
      <c r="T59" s="546"/>
      <c r="U59" s="545"/>
      <c r="V59" s="517" t="s">
        <v>124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116</v>
      </c>
      <c r="B60" s="533"/>
      <c r="C60" s="404" t="s">
        <v>230</v>
      </c>
      <c r="D60" s="404" t="s">
        <v>127</v>
      </c>
      <c r="E60" s="404" t="s">
        <v>535</v>
      </c>
      <c r="F60" s="530" t="s">
        <v>124</v>
      </c>
      <c r="G60" s="531"/>
      <c r="H60" s="531"/>
      <c r="I60" s="531"/>
      <c r="J60" s="531"/>
      <c r="K60" s="531"/>
      <c r="L60" s="531"/>
      <c r="M60" s="532"/>
      <c r="N60" s="407" t="s">
        <v>116</v>
      </c>
      <c r="O60" s="401" t="s">
        <v>201</v>
      </c>
      <c r="P60" s="544" t="s">
        <v>340</v>
      </c>
      <c r="Q60" s="545"/>
      <c r="R60" s="544" t="s">
        <v>550</v>
      </c>
      <c r="S60" s="546"/>
      <c r="T60" s="546"/>
      <c r="U60" s="545"/>
      <c r="V60" s="517" t="s">
        <v>124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112</v>
      </c>
      <c r="B61" s="533"/>
      <c r="C61" s="404" t="s">
        <v>287</v>
      </c>
      <c r="D61" s="404" t="s">
        <v>115</v>
      </c>
      <c r="E61" s="404" t="s">
        <v>524</v>
      </c>
      <c r="F61" s="530" t="s">
        <v>546</v>
      </c>
      <c r="G61" s="531"/>
      <c r="H61" s="531"/>
      <c r="I61" s="531"/>
      <c r="J61" s="531"/>
      <c r="K61" s="531"/>
      <c r="L61" s="531"/>
      <c r="M61" s="532"/>
      <c r="N61" s="407" t="s">
        <v>116</v>
      </c>
      <c r="O61" s="401" t="s">
        <v>195</v>
      </c>
      <c r="P61" s="544" t="s">
        <v>115</v>
      </c>
      <c r="Q61" s="545"/>
      <c r="R61" s="544" t="s">
        <v>551</v>
      </c>
      <c r="S61" s="546"/>
      <c r="T61" s="546"/>
      <c r="U61" s="545"/>
      <c r="V61" s="517" t="s">
        <v>124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 t="s">
        <v>116</v>
      </c>
      <c r="B62" s="533"/>
      <c r="C62" s="404" t="s">
        <v>195</v>
      </c>
      <c r="D62" s="404" t="s">
        <v>115</v>
      </c>
      <c r="E62" s="404" t="s">
        <v>534</v>
      </c>
      <c r="F62" s="530" t="s">
        <v>124</v>
      </c>
      <c r="G62" s="531"/>
      <c r="H62" s="531"/>
      <c r="I62" s="531"/>
      <c r="J62" s="531"/>
      <c r="K62" s="531"/>
      <c r="L62" s="531"/>
      <c r="M62" s="532"/>
      <c r="N62" s="407" t="s">
        <v>112</v>
      </c>
      <c r="O62" s="401" t="s">
        <v>161</v>
      </c>
      <c r="P62" s="544" t="s">
        <v>340</v>
      </c>
      <c r="Q62" s="545"/>
      <c r="R62" s="544" t="s">
        <v>552</v>
      </c>
      <c r="S62" s="546"/>
      <c r="T62" s="546"/>
      <c r="U62" s="545"/>
      <c r="V62" s="517" t="s">
        <v>124</v>
      </c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 t="s">
        <v>116</v>
      </c>
      <c r="B63" s="533"/>
      <c r="C63" s="404" t="s">
        <v>547</v>
      </c>
      <c r="D63" s="404" t="s">
        <v>122</v>
      </c>
      <c r="E63" s="404" t="s">
        <v>136</v>
      </c>
      <c r="F63" s="530" t="s">
        <v>124</v>
      </c>
      <c r="G63" s="531"/>
      <c r="H63" s="531"/>
      <c r="I63" s="531"/>
      <c r="J63" s="531"/>
      <c r="K63" s="531"/>
      <c r="L63" s="531"/>
      <c r="M63" s="532"/>
      <c r="N63" s="407"/>
      <c r="O63" s="401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 t="s">
        <v>112</v>
      </c>
      <c r="B64" s="533"/>
      <c r="C64" s="404" t="s">
        <v>210</v>
      </c>
      <c r="D64" s="404" t="s">
        <v>115</v>
      </c>
      <c r="E64" s="404" t="s">
        <v>260</v>
      </c>
      <c r="F64" s="530" t="s">
        <v>124</v>
      </c>
      <c r="G64" s="531"/>
      <c r="H64" s="531"/>
      <c r="I64" s="531"/>
      <c r="J64" s="531"/>
      <c r="K64" s="531"/>
      <c r="L64" s="531"/>
      <c r="M64" s="532"/>
      <c r="N64" s="407"/>
      <c r="O64" s="401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43" t="s">
        <v>116</v>
      </c>
      <c r="B65" s="533"/>
      <c r="C65" s="404" t="s">
        <v>161</v>
      </c>
      <c r="D65" s="404" t="s">
        <v>122</v>
      </c>
      <c r="E65" s="404" t="s">
        <v>531</v>
      </c>
      <c r="F65" s="530" t="s">
        <v>124</v>
      </c>
      <c r="G65" s="531"/>
      <c r="H65" s="531"/>
      <c r="I65" s="531"/>
      <c r="J65" s="531"/>
      <c r="K65" s="531"/>
      <c r="L65" s="531"/>
      <c r="M65" s="532"/>
      <c r="N65" s="407"/>
      <c r="O65" s="401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403"/>
      <c r="D66" s="403"/>
      <c r="E66" s="404"/>
      <c r="F66" s="530"/>
      <c r="G66" s="531"/>
      <c r="H66" s="531"/>
      <c r="I66" s="531"/>
      <c r="J66" s="531"/>
      <c r="K66" s="531"/>
      <c r="L66" s="531"/>
      <c r="M66" s="532"/>
      <c r="N66" s="407"/>
      <c r="O66" s="401"/>
      <c r="P66" s="544"/>
      <c r="Q66" s="545"/>
      <c r="R66" s="544"/>
      <c r="S66" s="546"/>
      <c r="T66" s="546"/>
      <c r="U66" s="545"/>
      <c r="V66" s="517"/>
      <c r="W66" s="517"/>
      <c r="X66" s="517"/>
      <c r="Y66" s="517"/>
      <c r="Z66" s="517"/>
      <c r="AA66" s="517"/>
      <c r="AB66" s="517"/>
      <c r="AC66" s="517"/>
      <c r="AD66" s="534"/>
    </row>
    <row r="67" spans="1:32" ht="27" customHeight="1">
      <c r="A67" s="528"/>
      <c r="B67" s="529"/>
      <c r="C67" s="403"/>
      <c r="D67" s="403"/>
      <c r="E67" s="404"/>
      <c r="F67" s="530"/>
      <c r="G67" s="531"/>
      <c r="H67" s="531"/>
      <c r="I67" s="531"/>
      <c r="J67" s="531"/>
      <c r="K67" s="531"/>
      <c r="L67" s="531"/>
      <c r="M67" s="532"/>
      <c r="N67" s="407"/>
      <c r="O67" s="401"/>
      <c r="P67" s="533"/>
      <c r="Q67" s="533"/>
      <c r="R67" s="533"/>
      <c r="S67" s="533"/>
      <c r="T67" s="533"/>
      <c r="U67" s="533"/>
      <c r="V67" s="517"/>
      <c r="W67" s="517"/>
      <c r="X67" s="517"/>
      <c r="Y67" s="517"/>
      <c r="Z67" s="517"/>
      <c r="AA67" s="517"/>
      <c r="AB67" s="517"/>
      <c r="AC67" s="517"/>
      <c r="AD67" s="534"/>
      <c r="AF67" s="84">
        <f>8*3000</f>
        <v>24000</v>
      </c>
    </row>
    <row r="68" spans="1:32" ht="27" customHeight="1" thickBot="1">
      <c r="A68" s="535"/>
      <c r="B68" s="536"/>
      <c r="C68" s="405"/>
      <c r="D68" s="406"/>
      <c r="E68" s="405"/>
      <c r="F68" s="537"/>
      <c r="G68" s="538"/>
      <c r="H68" s="538"/>
      <c r="I68" s="538"/>
      <c r="J68" s="538"/>
      <c r="K68" s="538"/>
      <c r="L68" s="538"/>
      <c r="M68" s="539"/>
      <c r="N68" s="111"/>
      <c r="O68" s="103"/>
      <c r="P68" s="540"/>
      <c r="Q68" s="540"/>
      <c r="R68" s="540"/>
      <c r="S68" s="540"/>
      <c r="T68" s="540"/>
      <c r="U68" s="540"/>
      <c r="V68" s="541"/>
      <c r="W68" s="541"/>
      <c r="X68" s="541"/>
      <c r="Y68" s="541"/>
      <c r="Z68" s="541"/>
      <c r="AA68" s="541"/>
      <c r="AB68" s="541"/>
      <c r="AC68" s="541"/>
      <c r="AD68" s="542"/>
      <c r="AF68" s="84">
        <f>16*3000</f>
        <v>48000</v>
      </c>
    </row>
    <row r="69" spans="1:32" ht="27.75" thickBot="1">
      <c r="A69" s="526" t="s">
        <v>553</v>
      </c>
      <c r="B69" s="526"/>
      <c r="C69" s="526"/>
      <c r="D69" s="526"/>
      <c r="E69" s="526"/>
      <c r="F69" s="37"/>
      <c r="G69" s="37"/>
      <c r="H69" s="38"/>
      <c r="I69" s="38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F69" s="84">
        <v>24000</v>
      </c>
    </row>
    <row r="70" spans="1:32" ht="29.25" customHeight="1" thickBot="1">
      <c r="A70" s="527" t="s">
        <v>111</v>
      </c>
      <c r="B70" s="524"/>
      <c r="C70" s="402" t="s">
        <v>2</v>
      </c>
      <c r="D70" s="402" t="s">
        <v>37</v>
      </c>
      <c r="E70" s="402" t="s">
        <v>3</v>
      </c>
      <c r="F70" s="524" t="s">
        <v>109</v>
      </c>
      <c r="G70" s="524"/>
      <c r="H70" s="524"/>
      <c r="I70" s="524"/>
      <c r="J70" s="524"/>
      <c r="K70" s="524" t="s">
        <v>39</v>
      </c>
      <c r="L70" s="524"/>
      <c r="M70" s="402" t="s">
        <v>40</v>
      </c>
      <c r="N70" s="524" t="s">
        <v>41</v>
      </c>
      <c r="O70" s="524"/>
      <c r="P70" s="521" t="s">
        <v>42</v>
      </c>
      <c r="Q70" s="523"/>
      <c r="R70" s="521" t="s">
        <v>43</v>
      </c>
      <c r="S70" s="522"/>
      <c r="T70" s="522"/>
      <c r="U70" s="522"/>
      <c r="V70" s="522"/>
      <c r="W70" s="522"/>
      <c r="X70" s="522"/>
      <c r="Y70" s="522"/>
      <c r="Z70" s="522"/>
      <c r="AA70" s="523"/>
      <c r="AB70" s="524" t="s">
        <v>44</v>
      </c>
      <c r="AC70" s="524"/>
      <c r="AD70" s="525"/>
      <c r="AF70" s="84">
        <f>SUM(AF67:AF69)</f>
        <v>96000</v>
      </c>
    </row>
    <row r="71" spans="1:32" ht="25.5" customHeight="1">
      <c r="A71" s="512">
        <v>1</v>
      </c>
      <c r="B71" s="513"/>
      <c r="C71" s="104" t="s">
        <v>116</v>
      </c>
      <c r="D71" s="397"/>
      <c r="E71" s="400" t="s">
        <v>127</v>
      </c>
      <c r="F71" s="518" t="s">
        <v>537</v>
      </c>
      <c r="G71" s="519"/>
      <c r="H71" s="519"/>
      <c r="I71" s="519"/>
      <c r="J71" s="520"/>
      <c r="K71" s="504" t="s">
        <v>424</v>
      </c>
      <c r="L71" s="504"/>
      <c r="M71" s="51" t="s">
        <v>316</v>
      </c>
      <c r="N71" s="515" t="s">
        <v>307</v>
      </c>
      <c r="O71" s="515"/>
      <c r="P71" s="516">
        <v>100</v>
      </c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2</v>
      </c>
      <c r="B72" s="513"/>
      <c r="C72" s="104" t="s">
        <v>116</v>
      </c>
      <c r="D72" s="397"/>
      <c r="E72" s="400" t="s">
        <v>434</v>
      </c>
      <c r="F72" s="518" t="s">
        <v>554</v>
      </c>
      <c r="G72" s="519"/>
      <c r="H72" s="519"/>
      <c r="I72" s="519"/>
      <c r="J72" s="520"/>
      <c r="K72" s="504" t="s">
        <v>557</v>
      </c>
      <c r="L72" s="504"/>
      <c r="M72" s="51" t="s">
        <v>316</v>
      </c>
      <c r="N72" s="515" t="s">
        <v>307</v>
      </c>
      <c r="O72" s="515"/>
      <c r="P72" s="516">
        <v>200</v>
      </c>
      <c r="Q72" s="516"/>
      <c r="R72" s="517" t="s">
        <v>558</v>
      </c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3</v>
      </c>
      <c r="B73" s="513"/>
      <c r="C73" s="104" t="s">
        <v>138</v>
      </c>
      <c r="D73" s="397"/>
      <c r="E73" s="400" t="s">
        <v>142</v>
      </c>
      <c r="F73" s="518" t="s">
        <v>423</v>
      </c>
      <c r="G73" s="519"/>
      <c r="H73" s="519"/>
      <c r="I73" s="519"/>
      <c r="J73" s="520"/>
      <c r="K73" s="504" t="s">
        <v>424</v>
      </c>
      <c r="L73" s="504"/>
      <c r="M73" s="51" t="s">
        <v>216</v>
      </c>
      <c r="N73" s="515" t="s">
        <v>307</v>
      </c>
      <c r="O73" s="515"/>
      <c r="P73" s="516">
        <v>100</v>
      </c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4</v>
      </c>
      <c r="B74" s="513"/>
      <c r="C74" s="104" t="s">
        <v>112</v>
      </c>
      <c r="D74" s="397"/>
      <c r="E74" s="400" t="s">
        <v>127</v>
      </c>
      <c r="F74" s="518" t="s">
        <v>555</v>
      </c>
      <c r="G74" s="519"/>
      <c r="H74" s="519"/>
      <c r="I74" s="519"/>
      <c r="J74" s="520"/>
      <c r="K74" s="504" t="s">
        <v>141</v>
      </c>
      <c r="L74" s="504"/>
      <c r="M74" s="51" t="s">
        <v>216</v>
      </c>
      <c r="N74" s="515" t="s">
        <v>307</v>
      </c>
      <c r="O74" s="515"/>
      <c r="P74" s="516">
        <v>200</v>
      </c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5</v>
      </c>
      <c r="B75" s="513"/>
      <c r="C75" s="104" t="s">
        <v>112</v>
      </c>
      <c r="D75" s="397"/>
      <c r="E75" s="400" t="s">
        <v>127</v>
      </c>
      <c r="F75" s="518" t="s">
        <v>556</v>
      </c>
      <c r="G75" s="519"/>
      <c r="H75" s="519"/>
      <c r="I75" s="519"/>
      <c r="J75" s="520"/>
      <c r="K75" s="504" t="s">
        <v>141</v>
      </c>
      <c r="L75" s="504"/>
      <c r="M75" s="51" t="s">
        <v>216</v>
      </c>
      <c r="N75" s="515" t="s">
        <v>307</v>
      </c>
      <c r="O75" s="515"/>
      <c r="P75" s="516">
        <v>200</v>
      </c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6</v>
      </c>
      <c r="B76" s="513"/>
      <c r="C76" s="104" t="s">
        <v>116</v>
      </c>
      <c r="D76" s="397"/>
      <c r="E76" s="400" t="s">
        <v>560</v>
      </c>
      <c r="F76" s="518" t="s">
        <v>559</v>
      </c>
      <c r="G76" s="519"/>
      <c r="H76" s="519"/>
      <c r="I76" s="519"/>
      <c r="J76" s="520"/>
      <c r="K76" s="504" t="s">
        <v>440</v>
      </c>
      <c r="L76" s="504"/>
      <c r="M76" s="51" t="s">
        <v>438</v>
      </c>
      <c r="N76" s="515" t="s">
        <v>201</v>
      </c>
      <c r="O76" s="515"/>
      <c r="P76" s="516">
        <v>400</v>
      </c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7</v>
      </c>
      <c r="B77" s="513"/>
      <c r="C77" s="104" t="s">
        <v>112</v>
      </c>
      <c r="D77" s="397"/>
      <c r="E77" s="400" t="s">
        <v>115</v>
      </c>
      <c r="F77" s="518" t="s">
        <v>524</v>
      </c>
      <c r="G77" s="519"/>
      <c r="H77" s="519"/>
      <c r="I77" s="519"/>
      <c r="J77" s="520"/>
      <c r="K77" s="504" t="s">
        <v>128</v>
      </c>
      <c r="L77" s="504"/>
      <c r="M77" s="51" t="s">
        <v>216</v>
      </c>
      <c r="N77" s="515" t="s">
        <v>287</v>
      </c>
      <c r="O77" s="515"/>
      <c r="P77" s="516">
        <v>42</v>
      </c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8</v>
      </c>
      <c r="B78" s="513"/>
      <c r="C78" s="104" t="s">
        <v>116</v>
      </c>
      <c r="D78" s="397"/>
      <c r="E78" s="400" t="s">
        <v>122</v>
      </c>
      <c r="F78" s="514" t="s">
        <v>539</v>
      </c>
      <c r="G78" s="504"/>
      <c r="H78" s="504"/>
      <c r="I78" s="504"/>
      <c r="J78" s="504"/>
      <c r="K78" s="504" t="s">
        <v>140</v>
      </c>
      <c r="L78" s="504"/>
      <c r="M78" s="51" t="s">
        <v>316</v>
      </c>
      <c r="N78" s="515" t="s">
        <v>167</v>
      </c>
      <c r="O78" s="515"/>
      <c r="P78" s="516"/>
      <c r="Q78" s="516"/>
      <c r="R78" s="517" t="s">
        <v>562</v>
      </c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9</v>
      </c>
      <c r="B79" s="513"/>
      <c r="C79" s="104" t="s">
        <v>116</v>
      </c>
      <c r="D79" s="397"/>
      <c r="E79" s="400" t="s">
        <v>115</v>
      </c>
      <c r="F79" s="514" t="s">
        <v>561</v>
      </c>
      <c r="G79" s="504"/>
      <c r="H79" s="504"/>
      <c r="I79" s="504"/>
      <c r="J79" s="504"/>
      <c r="K79" s="504">
        <v>7301</v>
      </c>
      <c r="L79" s="504"/>
      <c r="M79" s="51" t="s">
        <v>316</v>
      </c>
      <c r="N79" s="515" t="s">
        <v>167</v>
      </c>
      <c r="O79" s="515"/>
      <c r="P79" s="516"/>
      <c r="Q79" s="516"/>
      <c r="R79" s="517" t="s">
        <v>563</v>
      </c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5.5" customHeight="1">
      <c r="A80" s="512">
        <v>10</v>
      </c>
      <c r="B80" s="513"/>
      <c r="C80" s="104"/>
      <c r="D80" s="397"/>
      <c r="E80" s="400"/>
      <c r="F80" s="514"/>
      <c r="G80" s="504"/>
      <c r="H80" s="504"/>
      <c r="I80" s="504"/>
      <c r="J80" s="504"/>
      <c r="K80" s="504"/>
      <c r="L80" s="504"/>
      <c r="M80" s="51"/>
      <c r="N80" s="515"/>
      <c r="O80" s="515"/>
      <c r="P80" s="516"/>
      <c r="Q80" s="516"/>
      <c r="R80" s="517"/>
      <c r="S80" s="517"/>
      <c r="T80" s="517"/>
      <c r="U80" s="517"/>
      <c r="V80" s="517"/>
      <c r="W80" s="517"/>
      <c r="X80" s="517"/>
      <c r="Y80" s="517"/>
      <c r="Z80" s="517"/>
      <c r="AA80" s="517"/>
      <c r="AB80" s="504"/>
      <c r="AC80" s="504"/>
      <c r="AD80" s="505"/>
      <c r="AF80" s="50"/>
    </row>
    <row r="81" spans="1:32" ht="26.25" customHeight="1" thickBot="1">
      <c r="A81" s="484" t="s">
        <v>564</v>
      </c>
      <c r="B81" s="484"/>
      <c r="C81" s="484"/>
      <c r="D81" s="484"/>
      <c r="E81" s="484"/>
      <c r="F81" s="37"/>
      <c r="G81" s="37"/>
      <c r="H81" s="38"/>
      <c r="I81" s="38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F81" s="50"/>
    </row>
    <row r="82" spans="1:32" ht="23.25" thickBot="1">
      <c r="A82" s="506" t="s">
        <v>111</v>
      </c>
      <c r="B82" s="507"/>
      <c r="C82" s="399" t="s">
        <v>2</v>
      </c>
      <c r="D82" s="399" t="s">
        <v>37</v>
      </c>
      <c r="E82" s="399" t="s">
        <v>121</v>
      </c>
      <c r="F82" s="486" t="s">
        <v>38</v>
      </c>
      <c r="G82" s="486"/>
      <c r="H82" s="486"/>
      <c r="I82" s="486"/>
      <c r="J82" s="486"/>
      <c r="K82" s="508" t="s">
        <v>58</v>
      </c>
      <c r="L82" s="509"/>
      <c r="M82" s="509"/>
      <c r="N82" s="509"/>
      <c r="O82" s="509"/>
      <c r="P82" s="509"/>
      <c r="Q82" s="509"/>
      <c r="R82" s="509"/>
      <c r="S82" s="510"/>
      <c r="T82" s="486" t="s">
        <v>49</v>
      </c>
      <c r="U82" s="486"/>
      <c r="V82" s="508" t="s">
        <v>50</v>
      </c>
      <c r="W82" s="510"/>
      <c r="X82" s="509" t="s">
        <v>51</v>
      </c>
      <c r="Y82" s="509"/>
      <c r="Z82" s="509"/>
      <c r="AA82" s="509"/>
      <c r="AB82" s="509"/>
      <c r="AC82" s="509"/>
      <c r="AD82" s="511"/>
      <c r="AF82" s="50"/>
    </row>
    <row r="83" spans="1:32" ht="33.75" customHeight="1">
      <c r="A83" s="478">
        <v>1</v>
      </c>
      <c r="B83" s="479"/>
      <c r="C83" s="398"/>
      <c r="D83" s="398"/>
      <c r="E83" s="65"/>
      <c r="F83" s="493"/>
      <c r="G83" s="494"/>
      <c r="H83" s="494"/>
      <c r="I83" s="494"/>
      <c r="J83" s="495"/>
      <c r="K83" s="496"/>
      <c r="L83" s="497"/>
      <c r="M83" s="497"/>
      <c r="N83" s="497"/>
      <c r="O83" s="497"/>
      <c r="P83" s="497"/>
      <c r="Q83" s="497"/>
      <c r="R83" s="497"/>
      <c r="S83" s="498"/>
      <c r="T83" s="499"/>
      <c r="U83" s="500"/>
      <c r="V83" s="501"/>
      <c r="W83" s="501"/>
      <c r="X83" s="502"/>
      <c r="Y83" s="502"/>
      <c r="Z83" s="502"/>
      <c r="AA83" s="502"/>
      <c r="AB83" s="502"/>
      <c r="AC83" s="502"/>
      <c r="AD83" s="503"/>
      <c r="AF83" s="50"/>
    </row>
    <row r="84" spans="1:32" ht="30" customHeight="1">
      <c r="A84" s="471">
        <f>A83+1</f>
        <v>2</v>
      </c>
      <c r="B84" s="472"/>
      <c r="C84" s="397"/>
      <c r="D84" s="397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ref="A85:A89" si="19">A84+1</f>
        <v>3</v>
      </c>
      <c r="B85" s="472"/>
      <c r="C85" s="397"/>
      <c r="D85" s="397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9"/>
        <v>4</v>
      </c>
      <c r="B86" s="472"/>
      <c r="C86" s="397"/>
      <c r="D86" s="397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9"/>
        <v>5</v>
      </c>
      <c r="B87" s="472"/>
      <c r="C87" s="397"/>
      <c r="D87" s="397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9"/>
        <v>6</v>
      </c>
      <c r="B88" s="472"/>
      <c r="C88" s="397"/>
      <c r="D88" s="397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0" customHeight="1">
      <c r="A89" s="471">
        <f t="shared" si="19"/>
        <v>7</v>
      </c>
      <c r="B89" s="472"/>
      <c r="C89" s="397"/>
      <c r="D89" s="397"/>
      <c r="E89" s="32"/>
      <c r="F89" s="472"/>
      <c r="G89" s="472"/>
      <c r="H89" s="472"/>
      <c r="I89" s="472"/>
      <c r="J89" s="472"/>
      <c r="K89" s="487"/>
      <c r="L89" s="488"/>
      <c r="M89" s="488"/>
      <c r="N89" s="488"/>
      <c r="O89" s="488"/>
      <c r="P89" s="488"/>
      <c r="Q89" s="488"/>
      <c r="R89" s="488"/>
      <c r="S89" s="489"/>
      <c r="T89" s="490"/>
      <c r="U89" s="490"/>
      <c r="V89" s="490"/>
      <c r="W89" s="490"/>
      <c r="X89" s="491"/>
      <c r="Y89" s="491"/>
      <c r="Z89" s="491"/>
      <c r="AA89" s="491"/>
      <c r="AB89" s="491"/>
      <c r="AC89" s="491"/>
      <c r="AD89" s="492"/>
      <c r="AF89" s="50"/>
    </row>
    <row r="90" spans="1:32" ht="36" thickBot="1">
      <c r="A90" s="484" t="s">
        <v>565</v>
      </c>
      <c r="B90" s="484"/>
      <c r="C90" s="484"/>
      <c r="D90" s="484"/>
      <c r="E90" s="484"/>
      <c r="F90" s="37"/>
      <c r="G90" s="37"/>
      <c r="H90" s="38"/>
      <c r="I90" s="38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F90" s="50"/>
    </row>
    <row r="91" spans="1:32" ht="30.75" customHeight="1" thickBot="1">
      <c r="A91" s="485" t="s">
        <v>111</v>
      </c>
      <c r="B91" s="486"/>
      <c r="C91" s="476" t="s">
        <v>52</v>
      </c>
      <c r="D91" s="476"/>
      <c r="E91" s="476" t="s">
        <v>53</v>
      </c>
      <c r="F91" s="476"/>
      <c r="G91" s="476"/>
      <c r="H91" s="476"/>
      <c r="I91" s="476"/>
      <c r="J91" s="476"/>
      <c r="K91" s="476" t="s">
        <v>54</v>
      </c>
      <c r="L91" s="476"/>
      <c r="M91" s="476"/>
      <c r="N91" s="476"/>
      <c r="O91" s="476"/>
      <c r="P91" s="476"/>
      <c r="Q91" s="476"/>
      <c r="R91" s="476"/>
      <c r="S91" s="476"/>
      <c r="T91" s="476" t="s">
        <v>55</v>
      </c>
      <c r="U91" s="476"/>
      <c r="V91" s="476" t="s">
        <v>56</v>
      </c>
      <c r="W91" s="476"/>
      <c r="X91" s="476"/>
      <c r="Y91" s="476" t="s">
        <v>51</v>
      </c>
      <c r="Z91" s="476"/>
      <c r="AA91" s="476"/>
      <c r="AB91" s="476"/>
      <c r="AC91" s="476"/>
      <c r="AD91" s="477"/>
      <c r="AF91" s="50"/>
    </row>
    <row r="92" spans="1:32" ht="30.75" customHeight="1">
      <c r="A92" s="478">
        <v>1</v>
      </c>
      <c r="B92" s="479"/>
      <c r="C92" s="480">
        <v>9</v>
      </c>
      <c r="D92" s="480"/>
      <c r="E92" s="480" t="s">
        <v>125</v>
      </c>
      <c r="F92" s="480"/>
      <c r="G92" s="480"/>
      <c r="H92" s="480"/>
      <c r="I92" s="480"/>
      <c r="J92" s="480"/>
      <c r="K92" s="480" t="s">
        <v>132</v>
      </c>
      <c r="L92" s="480"/>
      <c r="M92" s="480"/>
      <c r="N92" s="480"/>
      <c r="O92" s="480"/>
      <c r="P92" s="480"/>
      <c r="Q92" s="480"/>
      <c r="R92" s="480"/>
      <c r="S92" s="480"/>
      <c r="T92" s="480" t="s">
        <v>126</v>
      </c>
      <c r="U92" s="480"/>
      <c r="V92" s="481">
        <v>1900000</v>
      </c>
      <c r="W92" s="481"/>
      <c r="X92" s="481"/>
      <c r="Y92" s="482"/>
      <c r="Z92" s="482"/>
      <c r="AA92" s="482"/>
      <c r="AB92" s="482"/>
      <c r="AC92" s="482"/>
      <c r="AD92" s="483"/>
      <c r="AF92" s="50"/>
    </row>
    <row r="93" spans="1:32" ht="30.75" customHeight="1">
      <c r="A93" s="471">
        <v>2</v>
      </c>
      <c r="B93" s="472"/>
      <c r="C93" s="473"/>
      <c r="D93" s="473"/>
      <c r="E93" s="473"/>
      <c r="F93" s="473"/>
      <c r="G93" s="473"/>
      <c r="H93" s="473"/>
      <c r="I93" s="473"/>
      <c r="J93" s="473"/>
      <c r="K93" s="473"/>
      <c r="L93" s="473"/>
      <c r="M93" s="473"/>
      <c r="N93" s="473"/>
      <c r="O93" s="473"/>
      <c r="P93" s="473"/>
      <c r="Q93" s="473"/>
      <c r="R93" s="473"/>
      <c r="S93" s="473"/>
      <c r="T93" s="474"/>
      <c r="U93" s="474"/>
      <c r="V93" s="475"/>
      <c r="W93" s="475"/>
      <c r="X93" s="475"/>
      <c r="Y93" s="463"/>
      <c r="Z93" s="463"/>
      <c r="AA93" s="463"/>
      <c r="AB93" s="463"/>
      <c r="AC93" s="463"/>
      <c r="AD93" s="464"/>
      <c r="AF93" s="50"/>
    </row>
    <row r="94" spans="1:32" ht="30.75" customHeight="1" thickBot="1">
      <c r="A94" s="465">
        <v>3</v>
      </c>
      <c r="B94" s="466"/>
      <c r="C94" s="467"/>
      <c r="D94" s="467"/>
      <c r="E94" s="467"/>
      <c r="F94" s="467"/>
      <c r="G94" s="467"/>
      <c r="H94" s="467"/>
      <c r="I94" s="467"/>
      <c r="J94" s="467"/>
      <c r="K94" s="467"/>
      <c r="L94" s="467"/>
      <c r="M94" s="467"/>
      <c r="N94" s="467"/>
      <c r="O94" s="467"/>
      <c r="P94" s="467"/>
      <c r="Q94" s="467"/>
      <c r="R94" s="467"/>
      <c r="S94" s="467"/>
      <c r="T94" s="467"/>
      <c r="U94" s="467"/>
      <c r="V94" s="468"/>
      <c r="W94" s="468"/>
      <c r="X94" s="468"/>
      <c r="Y94" s="469"/>
      <c r="Z94" s="469"/>
      <c r="AA94" s="469"/>
      <c r="AB94" s="469"/>
      <c r="AC94" s="469"/>
      <c r="AD94" s="470"/>
      <c r="AF94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9:H29"/>
    <mergeCell ref="A56:E56"/>
    <mergeCell ref="A57:M57"/>
    <mergeCell ref="N57:AD57"/>
    <mergeCell ref="A58:B58"/>
    <mergeCell ref="F58:M58"/>
    <mergeCell ref="P58:Q58"/>
    <mergeCell ref="R58:U58"/>
    <mergeCell ref="V58:AD58"/>
    <mergeCell ref="I4:O4"/>
    <mergeCell ref="P4:Q4"/>
    <mergeCell ref="R4:V4"/>
    <mergeCell ref="W4:AA4"/>
    <mergeCell ref="AB4:AB5"/>
    <mergeCell ref="AC4:AC5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9:E69"/>
    <mergeCell ref="A70:B70"/>
    <mergeCell ref="F70:J70"/>
    <mergeCell ref="K70:L70"/>
    <mergeCell ref="N70:O70"/>
    <mergeCell ref="P70:Q70"/>
    <mergeCell ref="A67:B67"/>
    <mergeCell ref="F67:M67"/>
    <mergeCell ref="P67:Q67"/>
    <mergeCell ref="R70:AA70"/>
    <mergeCell ref="AB70:AD70"/>
    <mergeCell ref="A71:B71"/>
    <mergeCell ref="F71:J71"/>
    <mergeCell ref="K71:L71"/>
    <mergeCell ref="N71:O71"/>
    <mergeCell ref="P71:Q71"/>
    <mergeCell ref="R71:AA71"/>
    <mergeCell ref="AB71:AD71"/>
    <mergeCell ref="AB72:AD72"/>
    <mergeCell ref="A73:B73"/>
    <mergeCell ref="F73:J73"/>
    <mergeCell ref="K73:L73"/>
    <mergeCell ref="N73:O73"/>
    <mergeCell ref="P73:Q73"/>
    <mergeCell ref="R73:AA73"/>
    <mergeCell ref="AB73:AD73"/>
    <mergeCell ref="A72:B72"/>
    <mergeCell ref="F72:J72"/>
    <mergeCell ref="K72:L72"/>
    <mergeCell ref="N72:O72"/>
    <mergeCell ref="P72:Q72"/>
    <mergeCell ref="R72:AA72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E81"/>
    <mergeCell ref="A82:B82"/>
    <mergeCell ref="F82:J82"/>
    <mergeCell ref="K82:S82"/>
    <mergeCell ref="T82:U82"/>
    <mergeCell ref="V82:W82"/>
    <mergeCell ref="X82:AD82"/>
    <mergeCell ref="A80:B80"/>
    <mergeCell ref="F80:J80"/>
    <mergeCell ref="K80:L80"/>
    <mergeCell ref="N80:O80"/>
    <mergeCell ref="P80:Q80"/>
    <mergeCell ref="R80:AA80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90:E90"/>
    <mergeCell ref="A91:B91"/>
    <mergeCell ref="C91:D91"/>
    <mergeCell ref="E91:J91"/>
    <mergeCell ref="K91:S91"/>
    <mergeCell ref="T91:U91"/>
    <mergeCell ref="A89:B89"/>
    <mergeCell ref="F89:J89"/>
    <mergeCell ref="K89:S89"/>
    <mergeCell ref="T89:U89"/>
    <mergeCell ref="V91:X91"/>
    <mergeCell ref="Y91:AD91"/>
    <mergeCell ref="A92:B92"/>
    <mergeCell ref="C92:D92"/>
    <mergeCell ref="E92:J92"/>
    <mergeCell ref="K92:S92"/>
    <mergeCell ref="T92:U92"/>
    <mergeCell ref="V92:X92"/>
    <mergeCell ref="Y92:AD92"/>
    <mergeCell ref="Y93:AD93"/>
    <mergeCell ref="A94:B94"/>
    <mergeCell ref="C94:D94"/>
    <mergeCell ref="E94:J94"/>
    <mergeCell ref="K94:S94"/>
    <mergeCell ref="T94:U94"/>
    <mergeCell ref="V94:X94"/>
    <mergeCell ref="Y94:AD94"/>
    <mergeCell ref="A93:B93"/>
    <mergeCell ref="C93:D93"/>
    <mergeCell ref="E93:J93"/>
    <mergeCell ref="K93:S93"/>
    <mergeCell ref="T93:U93"/>
    <mergeCell ref="V93:X93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4" max="29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527A-C7B1-45B9-9423-CEE488077BB8}">
  <sheetPr>
    <pageSetUpPr fitToPage="1"/>
  </sheetPr>
  <dimension ref="A1:AF93"/>
  <sheetViews>
    <sheetView view="pageBreakPreview" zoomScale="70" zoomScaleNormal="72" zoomScaleSheetLayoutView="70" workbookViewId="0">
      <selection activeCell="A90" sqref="A90:B9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566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410" t="s">
        <v>17</v>
      </c>
      <c r="L5" s="410" t="s">
        <v>18</v>
      </c>
      <c r="M5" s="410" t="s">
        <v>19</v>
      </c>
      <c r="N5" s="410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476</v>
      </c>
      <c r="C6" s="34" t="s">
        <v>112</v>
      </c>
      <c r="D6" s="52" t="s">
        <v>475</v>
      </c>
      <c r="E6" s="53" t="s">
        <v>454</v>
      </c>
      <c r="F6" s="30" t="s">
        <v>141</v>
      </c>
      <c r="G6" s="12">
        <v>1</v>
      </c>
      <c r="H6" s="13">
        <v>24</v>
      </c>
      <c r="I6" s="31">
        <v>150</v>
      </c>
      <c r="J6" s="14">
        <v>150</v>
      </c>
      <c r="K6" s="15">
        <f>L6+150</f>
        <v>150</v>
      </c>
      <c r="L6" s="15"/>
      <c r="M6" s="15">
        <f t="shared" ref="M6:M27" si="0">L6-N6</f>
        <v>0</v>
      </c>
      <c r="N6" s="15">
        <v>0</v>
      </c>
      <c r="O6" s="58" t="str">
        <f t="shared" ref="O6:O28" si="1">IF(L6=0,"0",N6/L6)</f>
        <v>0</v>
      </c>
      <c r="P6" s="39" t="str">
        <f t="shared" ref="P6:P27" si="2">IF(L6=0,"0",(24-Q6))</f>
        <v>0</v>
      </c>
      <c r="Q6" s="40">
        <f t="shared" ref="Q6:Q27" si="3">SUM(R6:AA6)</f>
        <v>24</v>
      </c>
      <c r="R6" s="7"/>
      <c r="S6" s="6"/>
      <c r="T6" s="16"/>
      <c r="U6" s="16"/>
      <c r="V6" s="17"/>
      <c r="W6" s="5"/>
      <c r="X6" s="16"/>
      <c r="Y6" s="16"/>
      <c r="Z6" s="16"/>
      <c r="AA6" s="18">
        <v>24</v>
      </c>
      <c r="AB6" s="8">
        <f t="shared" ref="AB6:AB27" si="4">IF(J6=0,"0",(L6/J6))</f>
        <v>0</v>
      </c>
      <c r="AC6" s="9">
        <f t="shared" ref="AC6:AC27" si="5">IF(P6=0,"0",(P6/24))</f>
        <v>0</v>
      </c>
      <c r="AD6" s="10">
        <f t="shared" ref="AD6:AD27" si="6">AC6*AB6*(1-O6)</f>
        <v>0</v>
      </c>
      <c r="AE6" s="36">
        <f t="shared" ref="AE6:AE27" si="7">$AD$28</f>
        <v>0.52840909090909094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180000</v>
      </c>
      <c r="J7" s="14">
        <v>3614</v>
      </c>
      <c r="K7" s="15">
        <f>L7+4540+5413+4776+3810+3773+2780+4786+5910+5528</f>
        <v>44930</v>
      </c>
      <c r="L7" s="15">
        <f>2336+770+508</f>
        <v>3614</v>
      </c>
      <c r="M7" s="15">
        <f t="shared" si="0"/>
        <v>3614</v>
      </c>
      <c r="N7" s="15">
        <v>0</v>
      </c>
      <c r="O7" s="58">
        <f t="shared" si="1"/>
        <v>0</v>
      </c>
      <c r="P7" s="39">
        <f t="shared" si="2"/>
        <v>15</v>
      </c>
      <c r="Q7" s="40">
        <f t="shared" si="3"/>
        <v>9</v>
      </c>
      <c r="R7" s="7"/>
      <c r="S7" s="6">
        <v>9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0.625</v>
      </c>
      <c r="AD7" s="10">
        <f t="shared" si="6"/>
        <v>0.625</v>
      </c>
      <c r="AE7" s="36">
        <f t="shared" si="7"/>
        <v>0.52840909090909094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180000</v>
      </c>
      <c r="J8" s="14">
        <v>11830</v>
      </c>
      <c r="K8" s="15">
        <f>L8+8132+2262+5886+10522+11854+11762+11766+11818+11592+5898+11758+11820+11712+11856+11816+5182+6610+11708+11840</f>
        <v>197624</v>
      </c>
      <c r="L8" s="15">
        <f>2955*2+2960*2</f>
        <v>11830</v>
      </c>
      <c r="M8" s="15">
        <f t="shared" si="0"/>
        <v>11830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0.52840909090909094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180000</v>
      </c>
      <c r="J9" s="14">
        <v>11786</v>
      </c>
      <c r="K9" s="15">
        <f>L9+10280+10788+10818+10814+11584+6366+11696+11770+11638+11800+8836+5222+10904+11636+11670</f>
        <v>167608</v>
      </c>
      <c r="L9" s="15">
        <f>2937*2+2956*2</f>
        <v>11786</v>
      </c>
      <c r="M9" s="15">
        <f t="shared" si="0"/>
        <v>11786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0.52840909090909094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116</v>
      </c>
      <c r="D10" s="52" t="s">
        <v>434</v>
      </c>
      <c r="E10" s="53" t="s">
        <v>549</v>
      </c>
      <c r="F10" s="30" t="s">
        <v>130</v>
      </c>
      <c r="G10" s="33">
        <v>2</v>
      </c>
      <c r="H10" s="35">
        <v>24</v>
      </c>
      <c r="I10" s="7">
        <v>3000</v>
      </c>
      <c r="J10" s="14">
        <v>10060</v>
      </c>
      <c r="K10" s="15">
        <f>L10</f>
        <v>10060</v>
      </c>
      <c r="L10" s="15">
        <f>2712*2+2318*2</f>
        <v>10060</v>
      </c>
      <c r="M10" s="15">
        <f t="shared" si="0"/>
        <v>10060</v>
      </c>
      <c r="N10" s="15">
        <v>0</v>
      </c>
      <c r="O10" s="58">
        <f t="shared" si="1"/>
        <v>0</v>
      </c>
      <c r="P10" s="39">
        <f t="shared" si="2"/>
        <v>23</v>
      </c>
      <c r="Q10" s="40">
        <f t="shared" si="3"/>
        <v>1</v>
      </c>
      <c r="R10" s="7"/>
      <c r="S10" s="6"/>
      <c r="T10" s="16">
        <v>1</v>
      </c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0.95833333333333337</v>
      </c>
      <c r="AD10" s="10">
        <f t="shared" si="6"/>
        <v>0.95833333333333337</v>
      </c>
      <c r="AE10" s="36">
        <f t="shared" si="7"/>
        <v>0.52840909090909094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340</v>
      </c>
      <c r="E11" s="53" t="s">
        <v>550</v>
      </c>
      <c r="F11" s="30" t="s">
        <v>130</v>
      </c>
      <c r="G11" s="33">
        <v>1</v>
      </c>
      <c r="H11" s="35">
        <v>24</v>
      </c>
      <c r="I11" s="7">
        <v>2000</v>
      </c>
      <c r="J11" s="14">
        <v>4636</v>
      </c>
      <c r="K11" s="15">
        <f>L11</f>
        <v>4636</v>
      </c>
      <c r="L11" s="15">
        <f>2222+2414</f>
        <v>4636</v>
      </c>
      <c r="M11" s="15">
        <f t="shared" si="0"/>
        <v>4636</v>
      </c>
      <c r="N11" s="15">
        <v>0</v>
      </c>
      <c r="O11" s="58">
        <f t="shared" si="1"/>
        <v>0</v>
      </c>
      <c r="P11" s="39">
        <f t="shared" si="2"/>
        <v>23</v>
      </c>
      <c r="Q11" s="40">
        <f t="shared" si="3"/>
        <v>1</v>
      </c>
      <c r="R11" s="7"/>
      <c r="S11" s="6"/>
      <c r="T11" s="16">
        <v>1</v>
      </c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0.95833333333333337</v>
      </c>
      <c r="AD11" s="10">
        <f t="shared" si="6"/>
        <v>0.95833333333333337</v>
      </c>
      <c r="AE11" s="36">
        <f t="shared" si="7"/>
        <v>0.52840909090909094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115</v>
      </c>
      <c r="E12" s="53" t="s">
        <v>524</v>
      </c>
      <c r="F12" s="30" t="s">
        <v>128</v>
      </c>
      <c r="G12" s="12">
        <v>1</v>
      </c>
      <c r="H12" s="13">
        <v>22</v>
      </c>
      <c r="I12" s="31">
        <v>6200</v>
      </c>
      <c r="J12" s="5">
        <v>4316</v>
      </c>
      <c r="K12" s="15">
        <f>L12+2100</f>
        <v>6416</v>
      </c>
      <c r="L12" s="15">
        <f>1820+2496</f>
        <v>4316</v>
      </c>
      <c r="M12" s="15">
        <f t="shared" si="0"/>
        <v>4316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6"/>
        <v>1</v>
      </c>
      <c r="AE12" s="36">
        <f t="shared" si="7"/>
        <v>0.52840909090909094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116</v>
      </c>
      <c r="D13" s="52" t="s">
        <v>115</v>
      </c>
      <c r="E13" s="53" t="s">
        <v>551</v>
      </c>
      <c r="F13" s="30" t="s">
        <v>544</v>
      </c>
      <c r="G13" s="33">
        <v>1</v>
      </c>
      <c r="H13" s="35">
        <v>35</v>
      </c>
      <c r="I13" s="7">
        <v>2000</v>
      </c>
      <c r="J13" s="14">
        <v>3979</v>
      </c>
      <c r="K13" s="15">
        <f>L13</f>
        <v>3979</v>
      </c>
      <c r="L13" s="15">
        <f>2022+1957</f>
        <v>3979</v>
      </c>
      <c r="M13" s="15">
        <f t="shared" si="0"/>
        <v>3979</v>
      </c>
      <c r="N13" s="15">
        <v>0</v>
      </c>
      <c r="O13" s="58">
        <f t="shared" si="1"/>
        <v>0</v>
      </c>
      <c r="P13" s="39">
        <f t="shared" si="2"/>
        <v>23</v>
      </c>
      <c r="Q13" s="40">
        <f t="shared" si="3"/>
        <v>1</v>
      </c>
      <c r="R13" s="7"/>
      <c r="S13" s="6"/>
      <c r="T13" s="16">
        <v>1</v>
      </c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0.95833333333333337</v>
      </c>
      <c r="AD13" s="10">
        <f t="shared" si="6"/>
        <v>0.95833333333333337</v>
      </c>
      <c r="AE13" s="36">
        <f t="shared" si="7"/>
        <v>0.52840909090909094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232</v>
      </c>
      <c r="D14" s="52" t="s">
        <v>477</v>
      </c>
      <c r="E14" s="53" t="s">
        <v>469</v>
      </c>
      <c r="F14" s="30" t="s">
        <v>171</v>
      </c>
      <c r="G14" s="33">
        <v>1</v>
      </c>
      <c r="H14" s="35">
        <v>50</v>
      </c>
      <c r="I14" s="7">
        <v>700</v>
      </c>
      <c r="J14" s="5">
        <v>750</v>
      </c>
      <c r="K14" s="15">
        <f>L14+750</f>
        <v>750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0.52840909090909094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52000</v>
      </c>
      <c r="J15" s="14">
        <v>25452</v>
      </c>
      <c r="K15" s="15">
        <f>L15+17004</f>
        <v>42456</v>
      </c>
      <c r="L15" s="15">
        <f>3196*4+3167*4</f>
        <v>25452</v>
      </c>
      <c r="M15" s="15">
        <f t="shared" si="0"/>
        <v>25452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6"/>
        <v>1</v>
      </c>
      <c r="AE15" s="36">
        <f t="shared" si="7"/>
        <v>0.52840909090909094</v>
      </c>
      <c r="AF15" s="84">
        <f t="shared" si="8"/>
        <v>10</v>
      </c>
    </row>
    <row r="16" spans="1:32" ht="27" customHeight="1">
      <c r="A16" s="112">
        <v>11</v>
      </c>
      <c r="B16" s="11" t="s">
        <v>57</v>
      </c>
      <c r="C16" s="34" t="s">
        <v>112</v>
      </c>
      <c r="D16" s="52" t="s">
        <v>115</v>
      </c>
      <c r="E16" s="53" t="s">
        <v>260</v>
      </c>
      <c r="F16" s="30" t="s">
        <v>128</v>
      </c>
      <c r="G16" s="12">
        <v>1</v>
      </c>
      <c r="H16" s="13">
        <v>24</v>
      </c>
      <c r="I16" s="7">
        <v>22000</v>
      </c>
      <c r="J16" s="14">
        <v>5369</v>
      </c>
      <c r="K16" s="15">
        <f>L16+3583</f>
        <v>8952</v>
      </c>
      <c r="L16" s="15">
        <f>2687+2682</f>
        <v>5369</v>
      </c>
      <c r="M16" s="15">
        <f t="shared" si="0"/>
        <v>5369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6"/>
        <v>1</v>
      </c>
      <c r="AE16" s="36">
        <f t="shared" si="7"/>
        <v>0.52840909090909094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138</v>
      </c>
      <c r="D17" s="52"/>
      <c r="E17" s="53" t="s">
        <v>523</v>
      </c>
      <c r="F17" s="30" t="s">
        <v>530</v>
      </c>
      <c r="G17" s="12">
        <v>5</v>
      </c>
      <c r="H17" s="13">
        <v>24</v>
      </c>
      <c r="I17" s="7">
        <v>200000</v>
      </c>
      <c r="J17" s="14">
        <v>19755</v>
      </c>
      <c r="K17" s="15">
        <f>L17+26370+39325</f>
        <v>85450</v>
      </c>
      <c r="L17" s="15">
        <f>3951*5</f>
        <v>19755</v>
      </c>
      <c r="M17" s="15">
        <f t="shared" si="0"/>
        <v>19755</v>
      </c>
      <c r="N17" s="15">
        <v>0</v>
      </c>
      <c r="O17" s="58">
        <f t="shared" si="1"/>
        <v>0</v>
      </c>
      <c r="P17" s="39">
        <f t="shared" si="2"/>
        <v>11</v>
      </c>
      <c r="Q17" s="40">
        <f t="shared" si="3"/>
        <v>13</v>
      </c>
      <c r="R17" s="7"/>
      <c r="S17" s="6">
        <v>13</v>
      </c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0.45833333333333331</v>
      </c>
      <c r="AD17" s="10">
        <f t="shared" si="6"/>
        <v>0.45833333333333331</v>
      </c>
      <c r="AE17" s="36">
        <f t="shared" si="7"/>
        <v>0.52840909090909094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137</v>
      </c>
      <c r="E18" s="53" t="s">
        <v>191</v>
      </c>
      <c r="F18" s="30" t="s">
        <v>130</v>
      </c>
      <c r="G18" s="33">
        <v>1</v>
      </c>
      <c r="H18" s="35">
        <v>24</v>
      </c>
      <c r="I18" s="7">
        <v>180000</v>
      </c>
      <c r="J18" s="14">
        <v>4350</v>
      </c>
      <c r="K18" s="15">
        <f>L18+9952+11100+11616+11336+11468+11654+10384+11002+11590+11484+11300+9654+6186+11446+8364+11404+11256+4434+2660+10478+11296+4350</f>
        <v>214414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0.52840909090909094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112</v>
      </c>
      <c r="D19" s="52" t="s">
        <v>340</v>
      </c>
      <c r="E19" s="53" t="s">
        <v>552</v>
      </c>
      <c r="F19" s="30" t="s">
        <v>222</v>
      </c>
      <c r="G19" s="33">
        <v>1</v>
      </c>
      <c r="H19" s="35">
        <v>24</v>
      </c>
      <c r="I19" s="7">
        <v>1000</v>
      </c>
      <c r="J19" s="14">
        <v>3523</v>
      </c>
      <c r="K19" s="15">
        <f>L19</f>
        <v>3523</v>
      </c>
      <c r="L19" s="15">
        <f>2657+866</f>
        <v>3523</v>
      </c>
      <c r="M19" s="15">
        <f t="shared" si="0"/>
        <v>3523</v>
      </c>
      <c r="N19" s="15">
        <v>0</v>
      </c>
      <c r="O19" s="58">
        <f t="shared" si="1"/>
        <v>0</v>
      </c>
      <c r="P19" s="39">
        <f t="shared" si="2"/>
        <v>16</v>
      </c>
      <c r="Q19" s="40">
        <f t="shared" si="3"/>
        <v>8</v>
      </c>
      <c r="R19" s="7"/>
      <c r="S19" s="6"/>
      <c r="T19" s="16"/>
      <c r="U19" s="16"/>
      <c r="V19" s="17"/>
      <c r="W19" s="5">
        <v>8</v>
      </c>
      <c r="X19" s="16"/>
      <c r="Y19" s="16"/>
      <c r="Z19" s="16"/>
      <c r="AA19" s="18"/>
      <c r="AB19" s="8">
        <f t="shared" si="4"/>
        <v>1</v>
      </c>
      <c r="AC19" s="9">
        <f t="shared" si="5"/>
        <v>0.66666666666666663</v>
      </c>
      <c r="AD19" s="10">
        <f t="shared" si="6"/>
        <v>0.66666666666666663</v>
      </c>
      <c r="AE19" s="36">
        <f t="shared" si="7"/>
        <v>0.52840909090909094</v>
      </c>
      <c r="AF19" s="84">
        <f t="shared" si="8"/>
        <v>14</v>
      </c>
    </row>
    <row r="20" spans="1:32" ht="27" customHeight="1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206</v>
      </c>
      <c r="G20" s="12">
        <v>1</v>
      </c>
      <c r="H20" s="13">
        <v>24</v>
      </c>
      <c r="I20" s="7">
        <v>230000</v>
      </c>
      <c r="J20" s="14">
        <v>10962</v>
      </c>
      <c r="K20" s="15">
        <f>L20+7008+11154+9077+8768+10676+10588+2521+7242+10236+10216+10614+10620+10632+10760+10206+10892+10136+10692+10896+9992+10630+10894+7459+6981+3140+4342+308+5171+4481+8214</f>
        <v>265508</v>
      </c>
      <c r="L20" s="15">
        <f>2755*2+2726*2</f>
        <v>10962</v>
      </c>
      <c r="M20" s="15">
        <f t="shared" si="0"/>
        <v>10962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0.52840909090909094</v>
      </c>
      <c r="AF20" s="84">
        <f t="shared" si="8"/>
        <v>15</v>
      </c>
    </row>
    <row r="21" spans="1:32" ht="26.25" customHeight="1">
      <c r="A21" s="96">
        <v>16</v>
      </c>
      <c r="B21" s="11" t="s">
        <v>57</v>
      </c>
      <c r="C21" s="11" t="s">
        <v>113</v>
      </c>
      <c r="D21" s="52"/>
      <c r="E21" s="53" t="s">
        <v>134</v>
      </c>
      <c r="F21" s="12" t="s">
        <v>114</v>
      </c>
      <c r="G21" s="12">
        <v>4</v>
      </c>
      <c r="H21" s="35">
        <v>20</v>
      </c>
      <c r="I21" s="7">
        <v>1000000</v>
      </c>
      <c r="J21" s="14">
        <v>62068</v>
      </c>
      <c r="K21" s="15">
        <f>L21+50740+61508+62116</f>
        <v>236432</v>
      </c>
      <c r="L21" s="15">
        <f>7798*4+7719*4</f>
        <v>62068</v>
      </c>
      <c r="M21" s="15">
        <f t="shared" si="0"/>
        <v>62068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0.52840909090909094</v>
      </c>
      <c r="AF21" s="84">
        <f t="shared" si="8"/>
        <v>16</v>
      </c>
    </row>
    <row r="22" spans="1:32" ht="18.75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0.52840909090909094</v>
      </c>
      <c r="AF22" s="84">
        <f t="shared" si="8"/>
        <v>31</v>
      </c>
    </row>
    <row r="23" spans="1:32" ht="18.75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0.52840909090909094</v>
      </c>
      <c r="AF23" s="84">
        <f t="shared" si="8"/>
        <v>32</v>
      </c>
    </row>
    <row r="24" spans="1:32" ht="18.75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3244</v>
      </c>
      <c r="K24" s="15">
        <f>L24+4387+7770+5806+7905+7479+7369+7360+2397+6904+7208+7013+6976+6992+2652+6495+7026+7051+7084+4297+6519+7042+3244</f>
        <v>136976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20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0.52840909090909094</v>
      </c>
      <c r="AF24" s="84">
        <f t="shared" si="8"/>
        <v>33</v>
      </c>
    </row>
    <row r="25" spans="1:32" ht="28.5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0.52840909090909094</v>
      </c>
      <c r="AF25" s="84">
        <f t="shared" si="8"/>
        <v>34</v>
      </c>
    </row>
    <row r="26" spans="1:32" ht="28.5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0.52840909090909094</v>
      </c>
      <c r="AF26" s="84">
        <f t="shared" si="8"/>
        <v>35</v>
      </c>
    </row>
    <row r="27" spans="1:32" ht="19.5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1300000</v>
      </c>
      <c r="J27" s="14">
        <v>199470</v>
      </c>
      <c r="K27" s="15">
        <f>L27+356070+486150+492600+465600+199470</f>
        <v>1999890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15</v>
      </c>
      <c r="R27" s="7"/>
      <c r="S27" s="6"/>
      <c r="T27" s="16"/>
      <c r="U27" s="16"/>
      <c r="V27" s="120"/>
      <c r="W27" s="5">
        <v>15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0.52840909090909094</v>
      </c>
      <c r="AF27" s="84">
        <f t="shared" si="8"/>
        <v>36</v>
      </c>
    </row>
    <row r="28" spans="1:32" ht="19.5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9">SUM(I6:I27)</f>
        <v>4159050</v>
      </c>
      <c r="J28" s="19">
        <f t="shared" si="9"/>
        <v>406902</v>
      </c>
      <c r="K28" s="20">
        <f t="shared" si="9"/>
        <v>3969398</v>
      </c>
      <c r="L28" s="21">
        <f t="shared" si="9"/>
        <v>177350</v>
      </c>
      <c r="M28" s="20">
        <f t="shared" si="9"/>
        <v>177350</v>
      </c>
      <c r="N28" s="21">
        <f t="shared" si="9"/>
        <v>0</v>
      </c>
      <c r="O28" s="41">
        <f t="shared" si="1"/>
        <v>0</v>
      </c>
      <c r="P28" s="42">
        <f t="shared" ref="P28:AA28" si="10">SUM(P6:P27)</f>
        <v>279</v>
      </c>
      <c r="Q28" s="43">
        <f t="shared" si="10"/>
        <v>240</v>
      </c>
      <c r="R28" s="23">
        <f t="shared" si="10"/>
        <v>0</v>
      </c>
      <c r="S28" s="24">
        <f t="shared" si="10"/>
        <v>22</v>
      </c>
      <c r="T28" s="24">
        <f t="shared" si="10"/>
        <v>3</v>
      </c>
      <c r="U28" s="24">
        <f t="shared" si="10"/>
        <v>0</v>
      </c>
      <c r="V28" s="25">
        <f t="shared" si="10"/>
        <v>48</v>
      </c>
      <c r="W28" s="26">
        <f t="shared" si="10"/>
        <v>143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24</v>
      </c>
      <c r="AB28" s="28">
        <f>AVERAGE(AB6:AB27)</f>
        <v>0.65</v>
      </c>
      <c r="AC28" s="4">
        <f>AVERAGE(AC6:AC27)</f>
        <v>0.52840909090909094</v>
      </c>
      <c r="AD28" s="4">
        <f>AVERAGE(AD6:AD27)</f>
        <v>0.52840909090909094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567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570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411" t="s">
        <v>46</v>
      </c>
      <c r="D57" s="411" t="s">
        <v>47</v>
      </c>
      <c r="E57" s="411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411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43" t="s">
        <v>138</v>
      </c>
      <c r="B58" s="533"/>
      <c r="C58" s="414" t="s">
        <v>217</v>
      </c>
      <c r="D58" s="414" t="s">
        <v>142</v>
      </c>
      <c r="E58" s="414" t="s">
        <v>241</v>
      </c>
      <c r="F58" s="530" t="s">
        <v>568</v>
      </c>
      <c r="G58" s="531"/>
      <c r="H58" s="531"/>
      <c r="I58" s="531"/>
      <c r="J58" s="531"/>
      <c r="K58" s="531"/>
      <c r="L58" s="531"/>
      <c r="M58" s="532"/>
      <c r="N58" s="413" t="s">
        <v>112</v>
      </c>
      <c r="O58" s="419" t="s">
        <v>307</v>
      </c>
      <c r="P58" s="544" t="s">
        <v>475</v>
      </c>
      <c r="Q58" s="545"/>
      <c r="R58" s="544" t="s">
        <v>571</v>
      </c>
      <c r="S58" s="546"/>
      <c r="T58" s="546"/>
      <c r="U58" s="545"/>
      <c r="V58" s="517" t="s">
        <v>124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43" t="s">
        <v>116</v>
      </c>
      <c r="B59" s="533"/>
      <c r="C59" s="414" t="s">
        <v>230</v>
      </c>
      <c r="D59" s="414" t="s">
        <v>434</v>
      </c>
      <c r="E59" s="414" t="s">
        <v>549</v>
      </c>
      <c r="F59" s="530" t="s">
        <v>124</v>
      </c>
      <c r="G59" s="531"/>
      <c r="H59" s="531"/>
      <c r="I59" s="531"/>
      <c r="J59" s="531"/>
      <c r="K59" s="531"/>
      <c r="L59" s="531"/>
      <c r="M59" s="532"/>
      <c r="N59" s="413" t="s">
        <v>138</v>
      </c>
      <c r="O59" s="419" t="s">
        <v>217</v>
      </c>
      <c r="P59" s="544" t="s">
        <v>142</v>
      </c>
      <c r="Q59" s="545"/>
      <c r="R59" s="544" t="s">
        <v>241</v>
      </c>
      <c r="S59" s="546"/>
      <c r="T59" s="546"/>
      <c r="U59" s="545"/>
      <c r="V59" s="517" t="s">
        <v>120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116</v>
      </c>
      <c r="B60" s="533"/>
      <c r="C60" s="414" t="s">
        <v>201</v>
      </c>
      <c r="D60" s="414" t="s">
        <v>340</v>
      </c>
      <c r="E60" s="414" t="s">
        <v>550</v>
      </c>
      <c r="F60" s="530" t="s">
        <v>569</v>
      </c>
      <c r="G60" s="531"/>
      <c r="H60" s="531"/>
      <c r="I60" s="531"/>
      <c r="J60" s="531"/>
      <c r="K60" s="531"/>
      <c r="L60" s="531"/>
      <c r="M60" s="532"/>
      <c r="N60" s="413" t="s">
        <v>116</v>
      </c>
      <c r="O60" s="419" t="s">
        <v>195</v>
      </c>
      <c r="P60" s="544" t="s">
        <v>322</v>
      </c>
      <c r="Q60" s="545"/>
      <c r="R60" s="544" t="s">
        <v>323</v>
      </c>
      <c r="S60" s="546"/>
      <c r="T60" s="546"/>
      <c r="U60" s="545"/>
      <c r="V60" s="517" t="s">
        <v>124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116</v>
      </c>
      <c r="B61" s="533"/>
      <c r="C61" s="414" t="s">
        <v>195</v>
      </c>
      <c r="D61" s="414" t="s">
        <v>115</v>
      </c>
      <c r="E61" s="414" t="s">
        <v>551</v>
      </c>
      <c r="F61" s="530" t="s">
        <v>124</v>
      </c>
      <c r="G61" s="531"/>
      <c r="H61" s="531"/>
      <c r="I61" s="531"/>
      <c r="J61" s="531"/>
      <c r="K61" s="531"/>
      <c r="L61" s="531"/>
      <c r="M61" s="532"/>
      <c r="N61" s="413" t="s">
        <v>112</v>
      </c>
      <c r="O61" s="419" t="s">
        <v>230</v>
      </c>
      <c r="P61" s="544" t="s">
        <v>434</v>
      </c>
      <c r="Q61" s="545"/>
      <c r="R61" s="544" t="s">
        <v>572</v>
      </c>
      <c r="S61" s="546"/>
      <c r="T61" s="546"/>
      <c r="U61" s="545"/>
      <c r="V61" s="517" t="s">
        <v>124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 t="s">
        <v>112</v>
      </c>
      <c r="B62" s="533"/>
      <c r="C62" s="414" t="s">
        <v>161</v>
      </c>
      <c r="D62" s="414" t="s">
        <v>340</v>
      </c>
      <c r="E62" s="414" t="s">
        <v>552</v>
      </c>
      <c r="F62" s="530" t="s">
        <v>124</v>
      </c>
      <c r="G62" s="531"/>
      <c r="H62" s="531"/>
      <c r="I62" s="531"/>
      <c r="J62" s="531"/>
      <c r="K62" s="531"/>
      <c r="L62" s="531"/>
      <c r="M62" s="532"/>
      <c r="N62" s="413" t="s">
        <v>112</v>
      </c>
      <c r="O62" s="419" t="s">
        <v>201</v>
      </c>
      <c r="P62" s="544" t="s">
        <v>340</v>
      </c>
      <c r="Q62" s="545"/>
      <c r="R62" s="544" t="s">
        <v>573</v>
      </c>
      <c r="S62" s="546"/>
      <c r="T62" s="546"/>
      <c r="U62" s="545"/>
      <c r="V62" s="517" t="s">
        <v>124</v>
      </c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/>
      <c r="B63" s="533"/>
      <c r="C63" s="414"/>
      <c r="D63" s="414"/>
      <c r="E63" s="414"/>
      <c r="F63" s="530"/>
      <c r="G63" s="531"/>
      <c r="H63" s="531"/>
      <c r="I63" s="531"/>
      <c r="J63" s="531"/>
      <c r="K63" s="531"/>
      <c r="L63" s="531"/>
      <c r="M63" s="532"/>
      <c r="N63" s="413" t="s">
        <v>112</v>
      </c>
      <c r="O63" s="419" t="s">
        <v>161</v>
      </c>
      <c r="P63" s="544" t="s">
        <v>122</v>
      </c>
      <c r="Q63" s="545"/>
      <c r="R63" s="544" t="s">
        <v>332</v>
      </c>
      <c r="S63" s="546"/>
      <c r="T63" s="546"/>
      <c r="U63" s="545"/>
      <c r="V63" s="517" t="s">
        <v>124</v>
      </c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414"/>
      <c r="D64" s="414"/>
      <c r="E64" s="414"/>
      <c r="F64" s="530"/>
      <c r="G64" s="531"/>
      <c r="H64" s="531"/>
      <c r="I64" s="531"/>
      <c r="J64" s="531"/>
      <c r="K64" s="531"/>
      <c r="L64" s="531"/>
      <c r="M64" s="532"/>
      <c r="N64" s="413"/>
      <c r="O64" s="419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412"/>
      <c r="D65" s="412"/>
      <c r="E65" s="414"/>
      <c r="F65" s="530"/>
      <c r="G65" s="531"/>
      <c r="H65" s="531"/>
      <c r="I65" s="531"/>
      <c r="J65" s="531"/>
      <c r="K65" s="531"/>
      <c r="L65" s="531"/>
      <c r="M65" s="532"/>
      <c r="N65" s="413"/>
      <c r="O65" s="419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412"/>
      <c r="D66" s="412"/>
      <c r="E66" s="414"/>
      <c r="F66" s="530"/>
      <c r="G66" s="531"/>
      <c r="H66" s="531"/>
      <c r="I66" s="531"/>
      <c r="J66" s="531"/>
      <c r="K66" s="531"/>
      <c r="L66" s="531"/>
      <c r="M66" s="532"/>
      <c r="N66" s="413"/>
      <c r="O66" s="419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415"/>
      <c r="D67" s="416"/>
      <c r="E67" s="415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574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417" t="s">
        <v>2</v>
      </c>
      <c r="D69" s="417" t="s">
        <v>37</v>
      </c>
      <c r="E69" s="417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417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 t="s">
        <v>116</v>
      </c>
      <c r="D70" s="421"/>
      <c r="E70" s="418" t="s">
        <v>115</v>
      </c>
      <c r="F70" s="514" t="s">
        <v>561</v>
      </c>
      <c r="G70" s="504"/>
      <c r="H70" s="504"/>
      <c r="I70" s="504"/>
      <c r="J70" s="504"/>
      <c r="K70" s="504">
        <v>7301</v>
      </c>
      <c r="L70" s="504"/>
      <c r="M70" s="51" t="s">
        <v>316</v>
      </c>
      <c r="N70" s="515" t="s">
        <v>167</v>
      </c>
      <c r="O70" s="515"/>
      <c r="P70" s="516">
        <v>100</v>
      </c>
      <c r="Q70" s="516"/>
      <c r="R70" s="517" t="s">
        <v>368</v>
      </c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 t="s">
        <v>112</v>
      </c>
      <c r="D71" s="421"/>
      <c r="E71" s="418" t="s">
        <v>475</v>
      </c>
      <c r="F71" s="518" t="s">
        <v>454</v>
      </c>
      <c r="G71" s="519"/>
      <c r="H71" s="519"/>
      <c r="I71" s="519"/>
      <c r="J71" s="520"/>
      <c r="K71" s="504" t="s">
        <v>141</v>
      </c>
      <c r="L71" s="504"/>
      <c r="M71" s="51" t="s">
        <v>334</v>
      </c>
      <c r="N71" s="515" t="s">
        <v>307</v>
      </c>
      <c r="O71" s="515"/>
      <c r="P71" s="516">
        <v>280</v>
      </c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/>
      <c r="D72" s="421"/>
      <c r="E72" s="418"/>
      <c r="F72" s="518"/>
      <c r="G72" s="519"/>
      <c r="H72" s="519"/>
      <c r="I72" s="519"/>
      <c r="J72" s="520"/>
      <c r="K72" s="504"/>
      <c r="L72" s="504"/>
      <c r="M72" s="51"/>
      <c r="N72" s="515"/>
      <c r="O72" s="515"/>
      <c r="P72" s="516"/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/>
      <c r="D73" s="421"/>
      <c r="E73" s="418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/>
      <c r="D74" s="421"/>
      <c r="E74" s="418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/>
      <c r="D75" s="421"/>
      <c r="E75" s="418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/>
      <c r="D76" s="421"/>
      <c r="E76" s="418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421"/>
      <c r="E77" s="418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421"/>
      <c r="E78" s="418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421"/>
      <c r="E79" s="418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575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420" t="s">
        <v>2</v>
      </c>
      <c r="D81" s="420" t="s">
        <v>37</v>
      </c>
      <c r="E81" s="420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422"/>
      <c r="D82" s="422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421"/>
      <c r="D83" s="421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1">A83+1</f>
        <v>3</v>
      </c>
      <c r="B84" s="472"/>
      <c r="C84" s="421"/>
      <c r="D84" s="421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1"/>
        <v>4</v>
      </c>
      <c r="B85" s="472"/>
      <c r="C85" s="421"/>
      <c r="D85" s="421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1"/>
        <v>5</v>
      </c>
      <c r="B86" s="472"/>
      <c r="C86" s="421"/>
      <c r="D86" s="421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1"/>
        <v>6</v>
      </c>
      <c r="B87" s="472"/>
      <c r="C87" s="421"/>
      <c r="D87" s="421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1"/>
        <v>7</v>
      </c>
      <c r="B88" s="472"/>
      <c r="C88" s="421"/>
      <c r="D88" s="421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576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>
        <v>1900000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3" max="29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8B2A-66C7-4771-BB88-69CE67F132A6}">
  <sheetPr>
    <pageSetUpPr fitToPage="1"/>
  </sheetPr>
  <dimension ref="A1:AF94"/>
  <sheetViews>
    <sheetView view="pageBreakPreview" zoomScale="70" zoomScaleNormal="72" zoomScaleSheetLayoutView="70" workbookViewId="0">
      <selection activeCell="S13" sqref="S1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577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435" t="s">
        <v>17</v>
      </c>
      <c r="L5" s="435" t="s">
        <v>18</v>
      </c>
      <c r="M5" s="435" t="s">
        <v>19</v>
      </c>
      <c r="N5" s="43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112</v>
      </c>
      <c r="D6" s="52" t="s">
        <v>475</v>
      </c>
      <c r="E6" s="53" t="s">
        <v>578</v>
      </c>
      <c r="F6" s="30" t="s">
        <v>141</v>
      </c>
      <c r="G6" s="12">
        <v>1</v>
      </c>
      <c r="H6" s="13">
        <v>24</v>
      </c>
      <c r="I6" s="31">
        <v>5000</v>
      </c>
      <c r="J6" s="14">
        <v>3905</v>
      </c>
      <c r="K6" s="15">
        <f>L6</f>
        <v>3905</v>
      </c>
      <c r="L6" s="15">
        <f>3066+839</f>
        <v>3905</v>
      </c>
      <c r="M6" s="15">
        <f t="shared" ref="M6:M28" si="0">L6-N6</f>
        <v>3905</v>
      </c>
      <c r="N6" s="15">
        <v>0</v>
      </c>
      <c r="O6" s="58">
        <f t="shared" ref="O6:O29" si="1">IF(L6=0,"0",N6/L6)</f>
        <v>0</v>
      </c>
      <c r="P6" s="39">
        <f t="shared" ref="P6:P28" si="2">IF(L6=0,"0",(24-Q6))</f>
        <v>16</v>
      </c>
      <c r="Q6" s="40">
        <f t="shared" ref="Q6:Q28" si="3">SUM(R6:AA6)</f>
        <v>8</v>
      </c>
      <c r="R6" s="7"/>
      <c r="S6" s="6"/>
      <c r="T6" s="16"/>
      <c r="U6" s="16"/>
      <c r="V6" s="17"/>
      <c r="W6" s="5"/>
      <c r="X6" s="16"/>
      <c r="Y6" s="16"/>
      <c r="Z6" s="16"/>
      <c r="AA6" s="18">
        <v>8</v>
      </c>
      <c r="AB6" s="8">
        <f t="shared" ref="AB6:AB28" si="4">IF(J6=0,"0",(L6/J6))</f>
        <v>1</v>
      </c>
      <c r="AC6" s="9">
        <f t="shared" ref="AC6:AC28" si="5">IF(P6=0,"0",(P6/24))</f>
        <v>0.66666666666666663</v>
      </c>
      <c r="AD6" s="10">
        <f t="shared" ref="AD6:AD28" si="6">AC6*AB6*(1-O6)</f>
        <v>0.66666666666666663</v>
      </c>
      <c r="AE6" s="36">
        <f t="shared" ref="AE6:AE28" si="7">$AD$29</f>
        <v>0.58152173913043481</v>
      </c>
      <c r="AF6" s="84">
        <f t="shared" ref="AF6:AF28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180000</v>
      </c>
      <c r="J7" s="14">
        <v>7707</v>
      </c>
      <c r="K7" s="15">
        <f>L7+4540+5413+4776+3810+3773+2780+4786+5910+5528+3614</f>
        <v>52637</v>
      </c>
      <c r="L7" s="15">
        <f>2897+240+2285*2</f>
        <v>7707</v>
      </c>
      <c r="M7" s="15">
        <f t="shared" si="0"/>
        <v>7707</v>
      </c>
      <c r="N7" s="15">
        <v>0</v>
      </c>
      <c r="O7" s="58">
        <f t="shared" si="1"/>
        <v>0</v>
      </c>
      <c r="P7" s="39">
        <f t="shared" si="2"/>
        <v>21</v>
      </c>
      <c r="Q7" s="40">
        <f t="shared" si="3"/>
        <v>3</v>
      </c>
      <c r="R7" s="7"/>
      <c r="S7" s="6">
        <v>3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0.875</v>
      </c>
      <c r="AD7" s="10">
        <f t="shared" si="6"/>
        <v>0.875</v>
      </c>
      <c r="AE7" s="36">
        <f t="shared" si="7"/>
        <v>0.58152173913043481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180000</v>
      </c>
      <c r="J8" s="14">
        <v>11734</v>
      </c>
      <c r="K8" s="15">
        <f>L8+8132+2262+5886+10522+11854+11762+11766+11818+11592+5898+11758+11820+11712+11856+11816+5182+6610+11708+11840+11830</f>
        <v>209358</v>
      </c>
      <c r="L8" s="15">
        <f>2973*2+2894*2</f>
        <v>11734</v>
      </c>
      <c r="M8" s="15">
        <f t="shared" si="0"/>
        <v>11734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0.58152173913043481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180000</v>
      </c>
      <c r="J9" s="14">
        <v>11714</v>
      </c>
      <c r="K9" s="15">
        <f>L9+10280+10788+10818+10814+11584+6366+11696+11770+11638+11800+8836+5222+10904+11636+11670+11786</f>
        <v>179322</v>
      </c>
      <c r="L9" s="15">
        <f>2903*2+2954*2</f>
        <v>11714</v>
      </c>
      <c r="M9" s="15">
        <f t="shared" si="0"/>
        <v>11714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0.58152173913043481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112</v>
      </c>
      <c r="D10" s="52" t="s">
        <v>434</v>
      </c>
      <c r="E10" s="53" t="s">
        <v>572</v>
      </c>
      <c r="F10" s="30" t="s">
        <v>140</v>
      </c>
      <c r="G10" s="33">
        <v>2</v>
      </c>
      <c r="H10" s="35">
        <v>24</v>
      </c>
      <c r="I10" s="7">
        <v>20000</v>
      </c>
      <c r="J10" s="14">
        <v>11700</v>
      </c>
      <c r="K10" s="15">
        <f>L10</f>
        <v>11700</v>
      </c>
      <c r="L10" s="15">
        <f>3080*2+2770*2</f>
        <v>11700</v>
      </c>
      <c r="M10" s="15">
        <f t="shared" si="0"/>
        <v>11700</v>
      </c>
      <c r="N10" s="15">
        <v>0</v>
      </c>
      <c r="O10" s="58">
        <f t="shared" si="1"/>
        <v>0</v>
      </c>
      <c r="P10" s="39">
        <f t="shared" si="2"/>
        <v>23</v>
      </c>
      <c r="Q10" s="40">
        <f t="shared" si="3"/>
        <v>1</v>
      </c>
      <c r="R10" s="7"/>
      <c r="S10" s="6"/>
      <c r="T10" s="16">
        <v>1</v>
      </c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0.95833333333333337</v>
      </c>
      <c r="AD10" s="10">
        <f t="shared" si="6"/>
        <v>0.95833333333333337</v>
      </c>
      <c r="AE10" s="36">
        <f t="shared" si="7"/>
        <v>0.58152173913043481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340</v>
      </c>
      <c r="E11" s="53" t="s">
        <v>573</v>
      </c>
      <c r="F11" s="30" t="s">
        <v>128</v>
      </c>
      <c r="G11" s="33">
        <v>1</v>
      </c>
      <c r="H11" s="35">
        <v>24</v>
      </c>
      <c r="I11" s="7">
        <v>5000</v>
      </c>
      <c r="J11" s="14">
        <v>5381</v>
      </c>
      <c r="K11" s="15">
        <f>L11</f>
        <v>5381</v>
      </c>
      <c r="L11" s="15">
        <f>2964+2417</f>
        <v>5381</v>
      </c>
      <c r="M11" s="15">
        <f t="shared" si="0"/>
        <v>5381</v>
      </c>
      <c r="N11" s="15">
        <v>0</v>
      </c>
      <c r="O11" s="58">
        <f t="shared" si="1"/>
        <v>0</v>
      </c>
      <c r="P11" s="39">
        <f t="shared" si="2"/>
        <v>23</v>
      </c>
      <c r="Q11" s="40">
        <f t="shared" si="3"/>
        <v>1</v>
      </c>
      <c r="R11" s="7"/>
      <c r="S11" s="6"/>
      <c r="T11" s="16">
        <v>1</v>
      </c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0.95833333333333337</v>
      </c>
      <c r="AD11" s="10">
        <f t="shared" si="6"/>
        <v>0.95833333333333337</v>
      </c>
      <c r="AE11" s="36">
        <f t="shared" si="7"/>
        <v>0.58152173913043481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115</v>
      </c>
      <c r="E12" s="53" t="s">
        <v>524</v>
      </c>
      <c r="F12" s="30" t="s">
        <v>128</v>
      </c>
      <c r="G12" s="12">
        <v>1</v>
      </c>
      <c r="H12" s="13">
        <v>22</v>
      </c>
      <c r="I12" s="31">
        <v>6200</v>
      </c>
      <c r="J12" s="5">
        <v>1590</v>
      </c>
      <c r="K12" s="15">
        <f>L12+2100+4316</f>
        <v>8006</v>
      </c>
      <c r="L12" s="15">
        <v>1590</v>
      </c>
      <c r="M12" s="15">
        <f t="shared" si="0"/>
        <v>1590</v>
      </c>
      <c r="N12" s="15">
        <v>0</v>
      </c>
      <c r="O12" s="58">
        <f t="shared" si="1"/>
        <v>0</v>
      </c>
      <c r="P12" s="39">
        <f t="shared" si="2"/>
        <v>7</v>
      </c>
      <c r="Q12" s="40">
        <f t="shared" si="3"/>
        <v>17</v>
      </c>
      <c r="R12" s="7"/>
      <c r="S12" s="6"/>
      <c r="T12" s="16"/>
      <c r="U12" s="16"/>
      <c r="V12" s="17"/>
      <c r="W12" s="5">
        <v>17</v>
      </c>
      <c r="X12" s="16"/>
      <c r="Y12" s="16"/>
      <c r="Z12" s="16"/>
      <c r="AA12" s="18"/>
      <c r="AB12" s="8">
        <f t="shared" si="4"/>
        <v>1</v>
      </c>
      <c r="AC12" s="9">
        <f t="shared" si="5"/>
        <v>0.29166666666666669</v>
      </c>
      <c r="AD12" s="10">
        <f t="shared" si="6"/>
        <v>0.29166666666666669</v>
      </c>
      <c r="AE12" s="36">
        <f t="shared" si="7"/>
        <v>0.58152173913043481</v>
      </c>
      <c r="AF12" s="84">
        <f t="shared" si="8"/>
        <v>7</v>
      </c>
    </row>
    <row r="13" spans="1:32" ht="27" customHeight="1">
      <c r="A13" s="96">
        <v>7</v>
      </c>
      <c r="B13" s="11" t="s">
        <v>57</v>
      </c>
      <c r="C13" s="34" t="s">
        <v>112</v>
      </c>
      <c r="D13" s="52" t="s">
        <v>115</v>
      </c>
      <c r="E13" s="53" t="s">
        <v>579</v>
      </c>
      <c r="F13" s="30" t="s">
        <v>140</v>
      </c>
      <c r="G13" s="12">
        <v>1</v>
      </c>
      <c r="H13" s="13">
        <v>22</v>
      </c>
      <c r="I13" s="31">
        <v>5000</v>
      </c>
      <c r="J13" s="5">
        <v>2328</v>
      </c>
      <c r="K13" s="15">
        <f>L13</f>
        <v>2328</v>
      </c>
      <c r="L13" s="15">
        <f>2091+237</f>
        <v>2328</v>
      </c>
      <c r="M13" s="15">
        <f t="shared" ref="M13" si="9">L13-N13</f>
        <v>2328</v>
      </c>
      <c r="N13" s="15">
        <v>0</v>
      </c>
      <c r="O13" s="58">
        <f t="shared" ref="O13" si="10">IF(L13=0,"0",N13/L13)</f>
        <v>0</v>
      </c>
      <c r="P13" s="39">
        <f t="shared" ref="P13" si="11">IF(L13=0,"0",(24-Q13))</f>
        <v>12</v>
      </c>
      <c r="Q13" s="40">
        <f t="shared" ref="Q13" si="12">SUM(R13:AA13)</f>
        <v>12</v>
      </c>
      <c r="R13" s="7"/>
      <c r="S13" s="6">
        <v>4</v>
      </c>
      <c r="T13" s="16">
        <v>8</v>
      </c>
      <c r="U13" s="16"/>
      <c r="V13" s="17"/>
      <c r="W13" s="5"/>
      <c r="X13" s="16"/>
      <c r="Y13" s="16"/>
      <c r="Z13" s="16"/>
      <c r="AA13" s="18"/>
      <c r="AB13" s="8">
        <f t="shared" ref="AB13" si="13">IF(J13=0,"0",(L13/J13))</f>
        <v>1</v>
      </c>
      <c r="AC13" s="9">
        <f t="shared" ref="AC13" si="14">IF(P13=0,"0",(P13/24))</f>
        <v>0.5</v>
      </c>
      <c r="AD13" s="10">
        <f t="shared" ref="AD13" si="15">AC13*AB13*(1-O13)</f>
        <v>0.5</v>
      </c>
      <c r="AE13" s="36">
        <f t="shared" si="7"/>
        <v>0.58152173913043481</v>
      </c>
      <c r="AF13" s="84">
        <f t="shared" ref="AF13" si="16">A13</f>
        <v>7</v>
      </c>
    </row>
    <row r="14" spans="1:32" ht="27" customHeight="1">
      <c r="A14" s="96">
        <v>8</v>
      </c>
      <c r="B14" s="11" t="s">
        <v>57</v>
      </c>
      <c r="C14" s="11" t="s">
        <v>112</v>
      </c>
      <c r="D14" s="52" t="s">
        <v>322</v>
      </c>
      <c r="E14" s="53" t="s">
        <v>323</v>
      </c>
      <c r="F14" s="30" t="s">
        <v>324</v>
      </c>
      <c r="G14" s="33">
        <v>1</v>
      </c>
      <c r="H14" s="35">
        <v>22</v>
      </c>
      <c r="I14" s="7">
        <v>6000</v>
      </c>
      <c r="J14" s="14">
        <v>5323</v>
      </c>
      <c r="K14" s="15">
        <f>L14</f>
        <v>5323</v>
      </c>
      <c r="L14" s="15">
        <f>2838+2485</f>
        <v>5323</v>
      </c>
      <c r="M14" s="15">
        <f t="shared" si="0"/>
        <v>5323</v>
      </c>
      <c r="N14" s="15">
        <v>0</v>
      </c>
      <c r="O14" s="58">
        <f t="shared" si="1"/>
        <v>0</v>
      </c>
      <c r="P14" s="39">
        <f t="shared" si="2"/>
        <v>22</v>
      </c>
      <c r="Q14" s="40">
        <f t="shared" si="3"/>
        <v>2</v>
      </c>
      <c r="R14" s="7"/>
      <c r="S14" s="6"/>
      <c r="T14" s="16">
        <v>2</v>
      </c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0.91666666666666663</v>
      </c>
      <c r="AD14" s="10">
        <f t="shared" si="6"/>
        <v>0.91666666666666663</v>
      </c>
      <c r="AE14" s="36">
        <f t="shared" si="7"/>
        <v>0.58152173913043481</v>
      </c>
      <c r="AF14" s="84">
        <f t="shared" si="8"/>
        <v>8</v>
      </c>
    </row>
    <row r="15" spans="1:32" ht="27" customHeight="1">
      <c r="A15" s="105">
        <v>9</v>
      </c>
      <c r="B15" s="11" t="s">
        <v>57</v>
      </c>
      <c r="C15" s="34" t="s">
        <v>232</v>
      </c>
      <c r="D15" s="52" t="s">
        <v>477</v>
      </c>
      <c r="E15" s="53" t="s">
        <v>469</v>
      </c>
      <c r="F15" s="30" t="s">
        <v>171</v>
      </c>
      <c r="G15" s="33">
        <v>1</v>
      </c>
      <c r="H15" s="35">
        <v>50</v>
      </c>
      <c r="I15" s="7">
        <v>700</v>
      </c>
      <c r="J15" s="5">
        <v>750</v>
      </c>
      <c r="K15" s="15">
        <f>L15+750</f>
        <v>750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0.58152173913043481</v>
      </c>
      <c r="AF15" s="84">
        <f t="shared" si="8"/>
        <v>9</v>
      </c>
    </row>
    <row r="16" spans="1:32" ht="27" customHeight="1">
      <c r="A16" s="95">
        <v>10</v>
      </c>
      <c r="B16" s="11" t="s">
        <v>57</v>
      </c>
      <c r="C16" s="34" t="s">
        <v>116</v>
      </c>
      <c r="D16" s="52" t="s">
        <v>122</v>
      </c>
      <c r="E16" s="53" t="s">
        <v>136</v>
      </c>
      <c r="F16" s="30" t="s">
        <v>131</v>
      </c>
      <c r="G16" s="12">
        <v>4</v>
      </c>
      <c r="H16" s="13">
        <v>24</v>
      </c>
      <c r="I16" s="31">
        <v>52000</v>
      </c>
      <c r="J16" s="14">
        <v>26300</v>
      </c>
      <c r="K16" s="15">
        <f>L16+17004+25452</f>
        <v>68756</v>
      </c>
      <c r="L16" s="15">
        <f>3407*4+3168*4</f>
        <v>26300</v>
      </c>
      <c r="M16" s="15">
        <f t="shared" si="0"/>
        <v>26300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6"/>
        <v>1</v>
      </c>
      <c r="AE16" s="36">
        <f t="shared" si="7"/>
        <v>0.58152173913043481</v>
      </c>
      <c r="AF16" s="84">
        <f t="shared" si="8"/>
        <v>10</v>
      </c>
    </row>
    <row r="17" spans="1:32" ht="27" customHeight="1">
      <c r="A17" s="112">
        <v>11</v>
      </c>
      <c r="B17" s="11" t="s">
        <v>57</v>
      </c>
      <c r="C17" s="34" t="s">
        <v>112</v>
      </c>
      <c r="D17" s="52" t="s">
        <v>115</v>
      </c>
      <c r="E17" s="53" t="s">
        <v>260</v>
      </c>
      <c r="F17" s="30" t="s">
        <v>128</v>
      </c>
      <c r="G17" s="12">
        <v>1</v>
      </c>
      <c r="H17" s="13">
        <v>24</v>
      </c>
      <c r="I17" s="7">
        <v>22000</v>
      </c>
      <c r="J17" s="14">
        <v>5344</v>
      </c>
      <c r="K17" s="15">
        <f>L17+3583+5369</f>
        <v>14296</v>
      </c>
      <c r="L17" s="15">
        <f>2667+2677</f>
        <v>5344</v>
      </c>
      <c r="M17" s="15">
        <f t="shared" si="0"/>
        <v>5344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6"/>
        <v>1</v>
      </c>
      <c r="AE17" s="36">
        <f t="shared" si="7"/>
        <v>0.58152173913043481</v>
      </c>
      <c r="AF17" s="84">
        <f t="shared" si="8"/>
        <v>11</v>
      </c>
    </row>
    <row r="18" spans="1:32" ht="27" customHeight="1">
      <c r="A18" s="95">
        <v>12</v>
      </c>
      <c r="B18" s="11" t="s">
        <v>57</v>
      </c>
      <c r="C18" s="34" t="s">
        <v>138</v>
      </c>
      <c r="D18" s="52"/>
      <c r="E18" s="53" t="s">
        <v>523</v>
      </c>
      <c r="F18" s="30" t="s">
        <v>530</v>
      </c>
      <c r="G18" s="12">
        <v>5</v>
      </c>
      <c r="H18" s="13">
        <v>24</v>
      </c>
      <c r="I18" s="7">
        <v>200000</v>
      </c>
      <c r="J18" s="14">
        <v>18405</v>
      </c>
      <c r="K18" s="15">
        <f>L18+26370+39325+19755</f>
        <v>103855</v>
      </c>
      <c r="L18" s="15">
        <f>3681*5</f>
        <v>18405</v>
      </c>
      <c r="M18" s="15">
        <f t="shared" si="0"/>
        <v>18405</v>
      </c>
      <c r="N18" s="15">
        <v>0</v>
      </c>
      <c r="O18" s="58">
        <f t="shared" si="1"/>
        <v>0</v>
      </c>
      <c r="P18" s="39">
        <f t="shared" si="2"/>
        <v>12</v>
      </c>
      <c r="Q18" s="40">
        <f t="shared" si="3"/>
        <v>12</v>
      </c>
      <c r="R18" s="7"/>
      <c r="S18" s="6">
        <v>12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0.5</v>
      </c>
      <c r="AD18" s="10">
        <f t="shared" si="6"/>
        <v>0.5</v>
      </c>
      <c r="AE18" s="36">
        <f t="shared" si="7"/>
        <v>0.58152173913043481</v>
      </c>
      <c r="AF18" s="84">
        <f t="shared" si="8"/>
        <v>12</v>
      </c>
    </row>
    <row r="19" spans="1:32" ht="27" customHeight="1">
      <c r="A19" s="96">
        <v>13</v>
      </c>
      <c r="B19" s="11" t="s">
        <v>57</v>
      </c>
      <c r="C19" s="11" t="s">
        <v>112</v>
      </c>
      <c r="D19" s="52" t="s">
        <v>434</v>
      </c>
      <c r="E19" s="53" t="s">
        <v>580</v>
      </c>
      <c r="F19" s="30" t="s">
        <v>140</v>
      </c>
      <c r="G19" s="33">
        <v>2</v>
      </c>
      <c r="H19" s="35">
        <v>24</v>
      </c>
      <c r="I19" s="7">
        <v>20000</v>
      </c>
      <c r="J19" s="14">
        <v>7826</v>
      </c>
      <c r="K19" s="15">
        <f>L19</f>
        <v>7826</v>
      </c>
      <c r="L19" s="15">
        <f>3061*2+852*2</f>
        <v>7826</v>
      </c>
      <c r="M19" s="15">
        <f t="shared" si="0"/>
        <v>7826</v>
      </c>
      <c r="N19" s="15">
        <v>0</v>
      </c>
      <c r="O19" s="58">
        <f t="shared" si="1"/>
        <v>0</v>
      </c>
      <c r="P19" s="39">
        <f t="shared" si="2"/>
        <v>18</v>
      </c>
      <c r="Q19" s="40">
        <f t="shared" si="3"/>
        <v>6</v>
      </c>
      <c r="R19" s="7"/>
      <c r="S19" s="6">
        <v>6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0.75</v>
      </c>
      <c r="AD19" s="10">
        <f t="shared" si="6"/>
        <v>0.75</v>
      </c>
      <c r="AE19" s="36">
        <f t="shared" si="7"/>
        <v>0.58152173913043481</v>
      </c>
      <c r="AF19" s="84">
        <f t="shared" si="8"/>
        <v>13</v>
      </c>
    </row>
    <row r="20" spans="1:32" ht="27" customHeight="1">
      <c r="A20" s="96">
        <v>14</v>
      </c>
      <c r="B20" s="11" t="s">
        <v>57</v>
      </c>
      <c r="C20" s="11" t="s">
        <v>112</v>
      </c>
      <c r="D20" s="52" t="s">
        <v>122</v>
      </c>
      <c r="E20" s="53" t="s">
        <v>332</v>
      </c>
      <c r="F20" s="30" t="s">
        <v>140</v>
      </c>
      <c r="G20" s="33">
        <v>1</v>
      </c>
      <c r="H20" s="35">
        <v>24</v>
      </c>
      <c r="I20" s="7">
        <v>5000</v>
      </c>
      <c r="J20" s="14">
        <v>5432</v>
      </c>
      <c r="K20" s="15">
        <f>L20</f>
        <v>5432</v>
      </c>
      <c r="L20" s="15">
        <f>2815+381+2236</f>
        <v>5432</v>
      </c>
      <c r="M20" s="15">
        <f t="shared" si="0"/>
        <v>5432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0.58152173913043481</v>
      </c>
      <c r="AF20" s="84">
        <f t="shared" si="8"/>
        <v>14</v>
      </c>
    </row>
    <row r="21" spans="1:32" ht="27" customHeight="1">
      <c r="A21" s="112">
        <v>15</v>
      </c>
      <c r="B21" s="11" t="s">
        <v>57</v>
      </c>
      <c r="C21" s="34" t="s">
        <v>112</v>
      </c>
      <c r="D21" s="52" t="s">
        <v>115</v>
      </c>
      <c r="E21" s="53" t="s">
        <v>178</v>
      </c>
      <c r="F21" s="30" t="s">
        <v>206</v>
      </c>
      <c r="G21" s="12">
        <v>1</v>
      </c>
      <c r="H21" s="13">
        <v>24</v>
      </c>
      <c r="I21" s="7">
        <v>230000</v>
      </c>
      <c r="J21" s="14">
        <v>10104</v>
      </c>
      <c r="K21" s="15">
        <f>L21+7008+11154+9077+8768+10676+10588+2521+7242+10236+10216+10614+10620+10632+10760+10206+10892+10136+10692+10896+9992+10630+10894+7459+6981+3140+4342+308+5171+4481+8214+10962</f>
        <v>275612</v>
      </c>
      <c r="L21" s="15">
        <f>2781*2+2271*2</f>
        <v>10104</v>
      </c>
      <c r="M21" s="15">
        <f t="shared" si="0"/>
        <v>10104</v>
      </c>
      <c r="N21" s="15">
        <v>0</v>
      </c>
      <c r="O21" s="58">
        <f t="shared" si="1"/>
        <v>0</v>
      </c>
      <c r="P21" s="39">
        <f t="shared" si="2"/>
        <v>23</v>
      </c>
      <c r="Q21" s="40">
        <f t="shared" si="3"/>
        <v>1</v>
      </c>
      <c r="R21" s="7"/>
      <c r="S21" s="6">
        <v>1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0.95833333333333337</v>
      </c>
      <c r="AD21" s="10">
        <f t="shared" si="6"/>
        <v>0.95833333333333337</v>
      </c>
      <c r="AE21" s="36">
        <f t="shared" si="7"/>
        <v>0.58152173913043481</v>
      </c>
      <c r="AF21" s="84">
        <f t="shared" si="8"/>
        <v>15</v>
      </c>
    </row>
    <row r="22" spans="1:32" ht="26.25" customHeight="1">
      <c r="A22" s="96">
        <v>16</v>
      </c>
      <c r="B22" s="11" t="s">
        <v>57</v>
      </c>
      <c r="C22" s="11" t="s">
        <v>113</v>
      </c>
      <c r="D22" s="52"/>
      <c r="E22" s="53" t="s">
        <v>134</v>
      </c>
      <c r="F22" s="12" t="s">
        <v>114</v>
      </c>
      <c r="G22" s="12">
        <v>4</v>
      </c>
      <c r="H22" s="35">
        <v>20</v>
      </c>
      <c r="I22" s="7">
        <v>1000000</v>
      </c>
      <c r="J22" s="14">
        <v>58848</v>
      </c>
      <c r="K22" s="15">
        <f>L22+50740+61508+62116+62068</f>
        <v>295280</v>
      </c>
      <c r="L22" s="15">
        <f>7016*4+7696*4</f>
        <v>58848</v>
      </c>
      <c r="M22" s="15">
        <f t="shared" si="0"/>
        <v>58848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6"/>
        <v>1</v>
      </c>
      <c r="AE22" s="36">
        <f t="shared" si="7"/>
        <v>0.58152173913043481</v>
      </c>
      <c r="AF22" s="84">
        <f t="shared" si="8"/>
        <v>16</v>
      </c>
    </row>
    <row r="23" spans="1:32" ht="18.75">
      <c r="A23" s="96">
        <v>31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0.58152173913043481</v>
      </c>
      <c r="AF23" s="84">
        <f t="shared" si="8"/>
        <v>31</v>
      </c>
    </row>
    <row r="24" spans="1:32" ht="18.75">
      <c r="A24" s="96">
        <v>32</v>
      </c>
      <c r="B24" s="11" t="s">
        <v>57</v>
      </c>
      <c r="C24" s="11"/>
      <c r="D24" s="52"/>
      <c r="E24" s="53"/>
      <c r="F24" s="12"/>
      <c r="G24" s="12"/>
      <c r="H24" s="35">
        <v>20</v>
      </c>
      <c r="I24" s="7"/>
      <c r="J24" s="14">
        <v>0</v>
      </c>
      <c r="K24" s="15">
        <f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>
        <v>24</v>
      </c>
      <c r="W24" s="5"/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0.58152173913043481</v>
      </c>
      <c r="AF24" s="84">
        <f t="shared" si="8"/>
        <v>32</v>
      </c>
    </row>
    <row r="25" spans="1:32" ht="18.75">
      <c r="A25" s="96">
        <v>33</v>
      </c>
      <c r="B25" s="11" t="s">
        <v>57</v>
      </c>
      <c r="C25" s="11" t="s">
        <v>116</v>
      </c>
      <c r="D25" s="52" t="s">
        <v>142</v>
      </c>
      <c r="E25" s="53" t="s">
        <v>146</v>
      </c>
      <c r="F25" s="12" t="s">
        <v>140</v>
      </c>
      <c r="G25" s="12">
        <v>1</v>
      </c>
      <c r="H25" s="35">
        <v>20</v>
      </c>
      <c r="I25" s="7">
        <v>140000</v>
      </c>
      <c r="J25" s="14">
        <v>3244</v>
      </c>
      <c r="K25" s="15">
        <f>L25+4387+7770+5806+7905+7479+7369+7360+2397+6904+7208+7013+6976+6992+2652+6495+7026+7051+7084+4297+6519+7042+3244</f>
        <v>136976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0.58152173913043481</v>
      </c>
      <c r="AF25" s="84">
        <f t="shared" si="8"/>
        <v>33</v>
      </c>
    </row>
    <row r="26" spans="1:32" ht="28.5">
      <c r="A26" s="96">
        <v>34</v>
      </c>
      <c r="B26" s="11" t="s">
        <v>57</v>
      </c>
      <c r="C26" s="11" t="s">
        <v>116</v>
      </c>
      <c r="D26" s="52" t="s">
        <v>142</v>
      </c>
      <c r="E26" s="53" t="s">
        <v>147</v>
      </c>
      <c r="F26" s="12" t="s">
        <v>131</v>
      </c>
      <c r="G26" s="12">
        <v>4</v>
      </c>
      <c r="H26" s="35">
        <v>20</v>
      </c>
      <c r="I26" s="7">
        <v>240000</v>
      </c>
      <c r="J26" s="14">
        <v>9988</v>
      </c>
      <c r="K26" s="15">
        <f>L26+24768+29084+29040+29804+27780+4064+26996+28972+25428+29132+9988</f>
        <v>265056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0.58152173913043481</v>
      </c>
      <c r="AF26" s="84">
        <f t="shared" si="8"/>
        <v>34</v>
      </c>
    </row>
    <row r="27" spans="1:32" ht="28.5">
      <c r="A27" s="96">
        <v>35</v>
      </c>
      <c r="B27" s="11" t="s">
        <v>57</v>
      </c>
      <c r="C27" s="11" t="s">
        <v>116</v>
      </c>
      <c r="D27" s="52" t="s">
        <v>122</v>
      </c>
      <c r="E27" s="53" t="s">
        <v>133</v>
      </c>
      <c r="F27" s="12" t="s">
        <v>131</v>
      </c>
      <c r="G27" s="12">
        <v>4</v>
      </c>
      <c r="H27" s="35">
        <v>20</v>
      </c>
      <c r="I27" s="7">
        <v>240000</v>
      </c>
      <c r="J27" s="14">
        <v>11600</v>
      </c>
      <c r="K27" s="15">
        <f>L27+25004+29968+31848+29672+31736+27000+29200+29420+29140+11600</f>
        <v>274588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0.58152173913043481</v>
      </c>
      <c r="AF27" s="84">
        <f t="shared" si="8"/>
        <v>35</v>
      </c>
    </row>
    <row r="28" spans="1:32" ht="19.5" thickBot="1">
      <c r="A28" s="96">
        <v>36</v>
      </c>
      <c r="B28" s="11" t="s">
        <v>57</v>
      </c>
      <c r="C28" s="11" t="s">
        <v>173</v>
      </c>
      <c r="D28" s="52"/>
      <c r="E28" s="53" t="s">
        <v>174</v>
      </c>
      <c r="F28" s="12" t="s">
        <v>175</v>
      </c>
      <c r="G28" s="12">
        <v>32</v>
      </c>
      <c r="H28" s="35">
        <v>20</v>
      </c>
      <c r="I28" s="7">
        <v>1300000</v>
      </c>
      <c r="J28" s="14">
        <v>199470</v>
      </c>
      <c r="K28" s="15">
        <f>L28+356070+486150+492600+465600+199470</f>
        <v>1999890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15</v>
      </c>
      <c r="R28" s="7"/>
      <c r="S28" s="6"/>
      <c r="T28" s="16"/>
      <c r="U28" s="16"/>
      <c r="V28" s="120"/>
      <c r="W28" s="5">
        <v>15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6"/>
        <v>0</v>
      </c>
      <c r="AE28" s="36">
        <f t="shared" si="7"/>
        <v>0.58152173913043481</v>
      </c>
      <c r="AF28" s="84">
        <f t="shared" si="8"/>
        <v>36</v>
      </c>
    </row>
    <row r="29" spans="1:32" ht="19.5" thickBot="1">
      <c r="A29" s="549" t="s">
        <v>34</v>
      </c>
      <c r="B29" s="550"/>
      <c r="C29" s="550"/>
      <c r="D29" s="550"/>
      <c r="E29" s="550"/>
      <c r="F29" s="550"/>
      <c r="G29" s="550"/>
      <c r="H29" s="551"/>
      <c r="I29" s="22">
        <f t="shared" ref="I29:N29" si="17">SUM(I6:I28)</f>
        <v>4036900</v>
      </c>
      <c r="J29" s="19">
        <f t="shared" si="17"/>
        <v>418693</v>
      </c>
      <c r="K29" s="20">
        <f t="shared" si="17"/>
        <v>3926277</v>
      </c>
      <c r="L29" s="21">
        <f t="shared" si="17"/>
        <v>193641</v>
      </c>
      <c r="M29" s="20">
        <f t="shared" si="17"/>
        <v>193641</v>
      </c>
      <c r="N29" s="21">
        <f t="shared" si="17"/>
        <v>0</v>
      </c>
      <c r="O29" s="41">
        <f t="shared" si="1"/>
        <v>0</v>
      </c>
      <c r="P29" s="42">
        <f t="shared" ref="P29:AA29" si="18">SUM(P6:P28)</f>
        <v>321</v>
      </c>
      <c r="Q29" s="43">
        <f t="shared" si="18"/>
        <v>222</v>
      </c>
      <c r="R29" s="23">
        <f t="shared" si="18"/>
        <v>0</v>
      </c>
      <c r="S29" s="24">
        <f t="shared" si="18"/>
        <v>26</v>
      </c>
      <c r="T29" s="24">
        <f t="shared" si="18"/>
        <v>12</v>
      </c>
      <c r="U29" s="24">
        <f t="shared" si="18"/>
        <v>0</v>
      </c>
      <c r="V29" s="25">
        <f t="shared" si="18"/>
        <v>48</v>
      </c>
      <c r="W29" s="26">
        <f t="shared" si="18"/>
        <v>128</v>
      </c>
      <c r="X29" s="27">
        <f t="shared" si="18"/>
        <v>0</v>
      </c>
      <c r="Y29" s="27">
        <f t="shared" si="18"/>
        <v>0</v>
      </c>
      <c r="Z29" s="27">
        <f t="shared" si="18"/>
        <v>0</v>
      </c>
      <c r="AA29" s="27">
        <f t="shared" si="18"/>
        <v>8</v>
      </c>
      <c r="AB29" s="28">
        <f>AVERAGE(AB6:AB28)</f>
        <v>0.76190476190476186</v>
      </c>
      <c r="AC29" s="4">
        <f>AVERAGE(AC6:AC28)</f>
        <v>0.58152173913043481</v>
      </c>
      <c r="AD29" s="4">
        <f>AVERAGE(AD6:AD28)</f>
        <v>0.58152173913043481</v>
      </c>
      <c r="AE29" s="29"/>
    </row>
    <row r="30" spans="1:32">
      <c r="T30" s="50" t="s">
        <v>143</v>
      </c>
    </row>
    <row r="31" spans="1:32" ht="18.75">
      <c r="A31" s="2"/>
      <c r="B31" s="2" t="s">
        <v>35</v>
      </c>
      <c r="C31" s="2"/>
      <c r="D31" s="2"/>
      <c r="E31" s="2"/>
      <c r="F31" s="2"/>
      <c r="G31" s="2"/>
      <c r="H31" s="3"/>
      <c r="I31" s="3"/>
      <c r="J31" s="2"/>
      <c r="K31" s="2"/>
      <c r="L31" s="2"/>
      <c r="M31" s="2"/>
      <c r="N31" s="2" t="s">
        <v>36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1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 t="s">
        <v>144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85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27">
      <c r="A46" s="59"/>
      <c r="B46" s="59"/>
      <c r="C46" s="59"/>
      <c r="D46" s="59"/>
      <c r="E46" s="59"/>
      <c r="F46" s="37"/>
      <c r="G46" s="37"/>
      <c r="H46" s="38"/>
      <c r="I46" s="38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F46" s="50"/>
    </row>
    <row r="47" spans="1:32" ht="29.25" customHeight="1">
      <c r="A47" s="60"/>
      <c r="B47" s="60"/>
      <c r="C47" s="61"/>
      <c r="D47" s="61"/>
      <c r="E47" s="61"/>
      <c r="F47" s="60"/>
      <c r="G47" s="60"/>
      <c r="H47" s="60"/>
      <c r="I47" s="60"/>
      <c r="J47" s="60"/>
      <c r="K47" s="60"/>
      <c r="L47" s="60"/>
      <c r="M47" s="61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4.2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36" thickBot="1">
      <c r="A56" s="552" t="s">
        <v>45</v>
      </c>
      <c r="B56" s="552"/>
      <c r="C56" s="552"/>
      <c r="D56" s="552"/>
      <c r="E56" s="552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26.25" thickBot="1">
      <c r="A57" s="553" t="s">
        <v>581</v>
      </c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5"/>
      <c r="N57" s="556" t="s">
        <v>585</v>
      </c>
      <c r="O57" s="557"/>
      <c r="P57" s="557"/>
      <c r="Q57" s="557"/>
      <c r="R57" s="557"/>
      <c r="S57" s="557"/>
      <c r="T57" s="557"/>
      <c r="U57" s="557"/>
      <c r="V57" s="557"/>
      <c r="W57" s="557"/>
      <c r="X57" s="557"/>
      <c r="Y57" s="557"/>
      <c r="Z57" s="557"/>
      <c r="AA57" s="557"/>
      <c r="AB57" s="557"/>
      <c r="AC57" s="557"/>
      <c r="AD57" s="558"/>
    </row>
    <row r="58" spans="1:32" ht="27" customHeight="1">
      <c r="A58" s="559" t="s">
        <v>2</v>
      </c>
      <c r="B58" s="560"/>
      <c r="C58" s="434" t="s">
        <v>46</v>
      </c>
      <c r="D58" s="434" t="s">
        <v>47</v>
      </c>
      <c r="E58" s="434" t="s">
        <v>107</v>
      </c>
      <c r="F58" s="561" t="s">
        <v>106</v>
      </c>
      <c r="G58" s="562"/>
      <c r="H58" s="562"/>
      <c r="I58" s="562"/>
      <c r="J58" s="562"/>
      <c r="K58" s="562"/>
      <c r="L58" s="562"/>
      <c r="M58" s="563"/>
      <c r="N58" s="67" t="s">
        <v>110</v>
      </c>
      <c r="O58" s="434" t="s">
        <v>46</v>
      </c>
      <c r="P58" s="561" t="s">
        <v>47</v>
      </c>
      <c r="Q58" s="564"/>
      <c r="R58" s="561" t="s">
        <v>38</v>
      </c>
      <c r="S58" s="562"/>
      <c r="T58" s="562"/>
      <c r="U58" s="564"/>
      <c r="V58" s="561" t="s">
        <v>48</v>
      </c>
      <c r="W58" s="562"/>
      <c r="X58" s="562"/>
      <c r="Y58" s="562"/>
      <c r="Z58" s="562"/>
      <c r="AA58" s="562"/>
      <c r="AB58" s="562"/>
      <c r="AC58" s="562"/>
      <c r="AD58" s="563"/>
    </row>
    <row r="59" spans="1:32" ht="27" customHeight="1">
      <c r="A59" s="543" t="s">
        <v>138</v>
      </c>
      <c r="B59" s="533"/>
      <c r="C59" s="430" t="s">
        <v>217</v>
      </c>
      <c r="D59" s="430" t="s">
        <v>142</v>
      </c>
      <c r="E59" s="430" t="s">
        <v>241</v>
      </c>
      <c r="F59" s="530" t="s">
        <v>582</v>
      </c>
      <c r="G59" s="531"/>
      <c r="H59" s="531"/>
      <c r="I59" s="531"/>
      <c r="J59" s="531"/>
      <c r="K59" s="531"/>
      <c r="L59" s="531"/>
      <c r="M59" s="532"/>
      <c r="N59" s="433" t="s">
        <v>138</v>
      </c>
      <c r="O59" s="427" t="s">
        <v>217</v>
      </c>
      <c r="P59" s="544" t="s">
        <v>142</v>
      </c>
      <c r="Q59" s="545"/>
      <c r="R59" s="544" t="s">
        <v>241</v>
      </c>
      <c r="S59" s="546"/>
      <c r="T59" s="546"/>
      <c r="U59" s="545"/>
      <c r="V59" s="517" t="s">
        <v>120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112</v>
      </c>
      <c r="B60" s="533"/>
      <c r="C60" s="430" t="s">
        <v>230</v>
      </c>
      <c r="D60" s="430" t="s">
        <v>434</v>
      </c>
      <c r="E60" s="430" t="s">
        <v>572</v>
      </c>
      <c r="F60" s="530" t="s">
        <v>124</v>
      </c>
      <c r="G60" s="531"/>
      <c r="H60" s="531"/>
      <c r="I60" s="531"/>
      <c r="J60" s="531"/>
      <c r="K60" s="531"/>
      <c r="L60" s="531"/>
      <c r="M60" s="532"/>
      <c r="N60" s="433" t="s">
        <v>112</v>
      </c>
      <c r="O60" s="427" t="s">
        <v>161</v>
      </c>
      <c r="P60" s="544" t="s">
        <v>137</v>
      </c>
      <c r="Q60" s="545"/>
      <c r="R60" s="544" t="s">
        <v>586</v>
      </c>
      <c r="S60" s="546"/>
      <c r="T60" s="546"/>
      <c r="U60" s="545"/>
      <c r="V60" s="517" t="s">
        <v>124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112</v>
      </c>
      <c r="B61" s="533"/>
      <c r="C61" s="430" t="s">
        <v>201</v>
      </c>
      <c r="D61" s="430" t="s">
        <v>340</v>
      </c>
      <c r="E61" s="430" t="s">
        <v>573</v>
      </c>
      <c r="F61" s="530" t="s">
        <v>124</v>
      </c>
      <c r="G61" s="531"/>
      <c r="H61" s="531"/>
      <c r="I61" s="531"/>
      <c r="J61" s="531"/>
      <c r="K61" s="531"/>
      <c r="L61" s="531"/>
      <c r="M61" s="532"/>
      <c r="N61" s="433" t="s">
        <v>112</v>
      </c>
      <c r="O61" s="427" t="s">
        <v>287</v>
      </c>
      <c r="P61" s="544" t="s">
        <v>115</v>
      </c>
      <c r="Q61" s="545"/>
      <c r="R61" s="544" t="s">
        <v>579</v>
      </c>
      <c r="S61" s="546"/>
      <c r="T61" s="546"/>
      <c r="U61" s="545"/>
      <c r="V61" s="517" t="s">
        <v>120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 t="s">
        <v>112</v>
      </c>
      <c r="B62" s="533"/>
      <c r="C62" s="430" t="s">
        <v>195</v>
      </c>
      <c r="D62" s="430" t="s">
        <v>322</v>
      </c>
      <c r="E62" s="430" t="s">
        <v>323</v>
      </c>
      <c r="F62" s="530" t="s">
        <v>124</v>
      </c>
      <c r="G62" s="531"/>
      <c r="H62" s="531"/>
      <c r="I62" s="531"/>
      <c r="J62" s="531"/>
      <c r="K62" s="531"/>
      <c r="L62" s="531"/>
      <c r="M62" s="532"/>
      <c r="N62" s="433"/>
      <c r="O62" s="427"/>
      <c r="P62" s="544"/>
      <c r="Q62" s="545"/>
      <c r="R62" s="544"/>
      <c r="S62" s="546"/>
      <c r="T62" s="546"/>
      <c r="U62" s="545"/>
      <c r="V62" s="517"/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 t="s">
        <v>112</v>
      </c>
      <c r="B63" s="533"/>
      <c r="C63" s="430" t="s">
        <v>287</v>
      </c>
      <c r="D63" s="430" t="s">
        <v>115</v>
      </c>
      <c r="E63" s="430" t="s">
        <v>579</v>
      </c>
      <c r="F63" s="530" t="s">
        <v>583</v>
      </c>
      <c r="G63" s="531"/>
      <c r="H63" s="531"/>
      <c r="I63" s="531"/>
      <c r="J63" s="531"/>
      <c r="K63" s="531"/>
      <c r="L63" s="531"/>
      <c r="M63" s="532"/>
      <c r="N63" s="433"/>
      <c r="O63" s="427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 t="s">
        <v>112</v>
      </c>
      <c r="B64" s="533"/>
      <c r="C64" s="430" t="s">
        <v>307</v>
      </c>
      <c r="D64" s="430" t="s">
        <v>475</v>
      </c>
      <c r="E64" s="430" t="s">
        <v>571</v>
      </c>
      <c r="F64" s="530" t="s">
        <v>124</v>
      </c>
      <c r="G64" s="531"/>
      <c r="H64" s="531"/>
      <c r="I64" s="531"/>
      <c r="J64" s="531"/>
      <c r="K64" s="531"/>
      <c r="L64" s="531"/>
      <c r="M64" s="532"/>
      <c r="N64" s="433"/>
      <c r="O64" s="427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43" t="s">
        <v>112</v>
      </c>
      <c r="B65" s="533"/>
      <c r="C65" s="430" t="s">
        <v>167</v>
      </c>
      <c r="D65" s="430" t="s">
        <v>560</v>
      </c>
      <c r="E65" s="430" t="s">
        <v>580</v>
      </c>
      <c r="F65" s="530" t="s">
        <v>584</v>
      </c>
      <c r="G65" s="531"/>
      <c r="H65" s="531"/>
      <c r="I65" s="531"/>
      <c r="J65" s="531"/>
      <c r="K65" s="531"/>
      <c r="L65" s="531"/>
      <c r="M65" s="532"/>
      <c r="N65" s="433"/>
      <c r="O65" s="427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 t="s">
        <v>112</v>
      </c>
      <c r="B66" s="529"/>
      <c r="C66" s="429" t="s">
        <v>161</v>
      </c>
      <c r="D66" s="429" t="s">
        <v>122</v>
      </c>
      <c r="E66" s="430" t="s">
        <v>332</v>
      </c>
      <c r="F66" s="530" t="s">
        <v>124</v>
      </c>
      <c r="G66" s="531"/>
      <c r="H66" s="531"/>
      <c r="I66" s="531"/>
      <c r="J66" s="531"/>
      <c r="K66" s="531"/>
      <c r="L66" s="531"/>
      <c r="M66" s="532"/>
      <c r="N66" s="433"/>
      <c r="O66" s="427"/>
      <c r="P66" s="544"/>
      <c r="Q66" s="545"/>
      <c r="R66" s="544"/>
      <c r="S66" s="546"/>
      <c r="T66" s="546"/>
      <c r="U66" s="545"/>
      <c r="V66" s="517"/>
      <c r="W66" s="517"/>
      <c r="X66" s="517"/>
      <c r="Y66" s="517"/>
      <c r="Z66" s="517"/>
      <c r="AA66" s="517"/>
      <c r="AB66" s="517"/>
      <c r="AC66" s="517"/>
      <c r="AD66" s="534"/>
    </row>
    <row r="67" spans="1:32" ht="27" customHeight="1">
      <c r="A67" s="528"/>
      <c r="B67" s="529"/>
      <c r="C67" s="429"/>
      <c r="D67" s="429"/>
      <c r="E67" s="430"/>
      <c r="F67" s="530"/>
      <c r="G67" s="531"/>
      <c r="H67" s="531"/>
      <c r="I67" s="531"/>
      <c r="J67" s="531"/>
      <c r="K67" s="531"/>
      <c r="L67" s="531"/>
      <c r="M67" s="532"/>
      <c r="N67" s="433"/>
      <c r="O67" s="427"/>
      <c r="P67" s="533"/>
      <c r="Q67" s="533"/>
      <c r="R67" s="533"/>
      <c r="S67" s="533"/>
      <c r="T67" s="533"/>
      <c r="U67" s="533"/>
      <c r="V67" s="517"/>
      <c r="W67" s="517"/>
      <c r="X67" s="517"/>
      <c r="Y67" s="517"/>
      <c r="Z67" s="517"/>
      <c r="AA67" s="517"/>
      <c r="AB67" s="517"/>
      <c r="AC67" s="517"/>
      <c r="AD67" s="534"/>
      <c r="AF67" s="84">
        <f>8*3000</f>
        <v>24000</v>
      </c>
    </row>
    <row r="68" spans="1:32" ht="27" customHeight="1" thickBot="1">
      <c r="A68" s="535"/>
      <c r="B68" s="536"/>
      <c r="C68" s="431"/>
      <c r="D68" s="432"/>
      <c r="E68" s="431"/>
      <c r="F68" s="537"/>
      <c r="G68" s="538"/>
      <c r="H68" s="538"/>
      <c r="I68" s="538"/>
      <c r="J68" s="538"/>
      <c r="K68" s="538"/>
      <c r="L68" s="538"/>
      <c r="M68" s="539"/>
      <c r="N68" s="111"/>
      <c r="O68" s="103"/>
      <c r="P68" s="540"/>
      <c r="Q68" s="540"/>
      <c r="R68" s="540"/>
      <c r="S68" s="540"/>
      <c r="T68" s="540"/>
      <c r="U68" s="540"/>
      <c r="V68" s="541"/>
      <c r="W68" s="541"/>
      <c r="X68" s="541"/>
      <c r="Y68" s="541"/>
      <c r="Z68" s="541"/>
      <c r="AA68" s="541"/>
      <c r="AB68" s="541"/>
      <c r="AC68" s="541"/>
      <c r="AD68" s="542"/>
      <c r="AF68" s="84">
        <f>16*3000</f>
        <v>48000</v>
      </c>
    </row>
    <row r="69" spans="1:32" ht="27.75" thickBot="1">
      <c r="A69" s="526" t="s">
        <v>587</v>
      </c>
      <c r="B69" s="526"/>
      <c r="C69" s="526"/>
      <c r="D69" s="526"/>
      <c r="E69" s="526"/>
      <c r="F69" s="37"/>
      <c r="G69" s="37"/>
      <c r="H69" s="38"/>
      <c r="I69" s="38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F69" s="84">
        <v>24000</v>
      </c>
    </row>
    <row r="70" spans="1:32" ht="29.25" customHeight="1" thickBot="1">
      <c r="A70" s="527" t="s">
        <v>111</v>
      </c>
      <c r="B70" s="524"/>
      <c r="C70" s="428" t="s">
        <v>2</v>
      </c>
      <c r="D70" s="428" t="s">
        <v>37</v>
      </c>
      <c r="E70" s="428" t="s">
        <v>3</v>
      </c>
      <c r="F70" s="524" t="s">
        <v>109</v>
      </c>
      <c r="G70" s="524"/>
      <c r="H70" s="524"/>
      <c r="I70" s="524"/>
      <c r="J70" s="524"/>
      <c r="K70" s="524" t="s">
        <v>39</v>
      </c>
      <c r="L70" s="524"/>
      <c r="M70" s="428" t="s">
        <v>40</v>
      </c>
      <c r="N70" s="524" t="s">
        <v>41</v>
      </c>
      <c r="O70" s="524"/>
      <c r="P70" s="521" t="s">
        <v>42</v>
      </c>
      <c r="Q70" s="523"/>
      <c r="R70" s="521" t="s">
        <v>43</v>
      </c>
      <c r="S70" s="522"/>
      <c r="T70" s="522"/>
      <c r="U70" s="522"/>
      <c r="V70" s="522"/>
      <c r="W70" s="522"/>
      <c r="X70" s="522"/>
      <c r="Y70" s="522"/>
      <c r="Z70" s="522"/>
      <c r="AA70" s="523"/>
      <c r="AB70" s="524" t="s">
        <v>44</v>
      </c>
      <c r="AC70" s="524"/>
      <c r="AD70" s="525"/>
      <c r="AF70" s="84">
        <f>SUM(AF67:AF69)</f>
        <v>96000</v>
      </c>
    </row>
    <row r="71" spans="1:32" ht="25.5" customHeight="1">
      <c r="A71" s="512">
        <v>1</v>
      </c>
      <c r="B71" s="513"/>
      <c r="C71" s="104" t="s">
        <v>163</v>
      </c>
      <c r="D71" s="423"/>
      <c r="E71" s="426"/>
      <c r="F71" s="514" t="s">
        <v>394</v>
      </c>
      <c r="G71" s="504"/>
      <c r="H71" s="504"/>
      <c r="I71" s="504"/>
      <c r="J71" s="504"/>
      <c r="K71" s="504" t="s">
        <v>141</v>
      </c>
      <c r="L71" s="504"/>
      <c r="M71" s="51" t="s">
        <v>588</v>
      </c>
      <c r="N71" s="515" t="s">
        <v>307</v>
      </c>
      <c r="O71" s="515"/>
      <c r="P71" s="516">
        <v>100</v>
      </c>
      <c r="Q71" s="516"/>
      <c r="R71" s="517" t="s">
        <v>589</v>
      </c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2</v>
      </c>
      <c r="B72" s="513"/>
      <c r="C72" s="104" t="s">
        <v>116</v>
      </c>
      <c r="D72" s="423"/>
      <c r="E72" s="426" t="s">
        <v>122</v>
      </c>
      <c r="F72" s="518" t="s">
        <v>539</v>
      </c>
      <c r="G72" s="519"/>
      <c r="H72" s="519"/>
      <c r="I72" s="519"/>
      <c r="J72" s="520"/>
      <c r="K72" s="504" t="s">
        <v>140</v>
      </c>
      <c r="L72" s="504"/>
      <c r="M72" s="51" t="s">
        <v>334</v>
      </c>
      <c r="N72" s="515" t="s">
        <v>167</v>
      </c>
      <c r="O72" s="515"/>
      <c r="P72" s="516">
        <v>100</v>
      </c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3</v>
      </c>
      <c r="B73" s="513"/>
      <c r="C73" s="104"/>
      <c r="D73" s="423"/>
      <c r="E73" s="426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4</v>
      </c>
      <c r="B74" s="513"/>
      <c r="C74" s="104"/>
      <c r="D74" s="423"/>
      <c r="E74" s="426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5</v>
      </c>
      <c r="B75" s="513"/>
      <c r="C75" s="104"/>
      <c r="D75" s="423"/>
      <c r="E75" s="426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6</v>
      </c>
      <c r="B76" s="513"/>
      <c r="C76" s="104"/>
      <c r="D76" s="423"/>
      <c r="E76" s="426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7</v>
      </c>
      <c r="B77" s="513"/>
      <c r="C77" s="104"/>
      <c r="D77" s="423"/>
      <c r="E77" s="426"/>
      <c r="F77" s="518"/>
      <c r="G77" s="519"/>
      <c r="H77" s="519"/>
      <c r="I77" s="519"/>
      <c r="J77" s="520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8</v>
      </c>
      <c r="B78" s="513"/>
      <c r="C78" s="104"/>
      <c r="D78" s="423"/>
      <c r="E78" s="426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9</v>
      </c>
      <c r="B79" s="513"/>
      <c r="C79" s="104"/>
      <c r="D79" s="423"/>
      <c r="E79" s="426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5.5" customHeight="1">
      <c r="A80" s="512">
        <v>10</v>
      </c>
      <c r="B80" s="513"/>
      <c r="C80" s="104"/>
      <c r="D80" s="423"/>
      <c r="E80" s="426"/>
      <c r="F80" s="514"/>
      <c r="G80" s="504"/>
      <c r="H80" s="504"/>
      <c r="I80" s="504"/>
      <c r="J80" s="504"/>
      <c r="K80" s="504"/>
      <c r="L80" s="504"/>
      <c r="M80" s="51"/>
      <c r="N80" s="515"/>
      <c r="O80" s="515"/>
      <c r="P80" s="516"/>
      <c r="Q80" s="516"/>
      <c r="R80" s="517"/>
      <c r="S80" s="517"/>
      <c r="T80" s="517"/>
      <c r="U80" s="517"/>
      <c r="V80" s="517"/>
      <c r="W80" s="517"/>
      <c r="X80" s="517"/>
      <c r="Y80" s="517"/>
      <c r="Z80" s="517"/>
      <c r="AA80" s="517"/>
      <c r="AB80" s="504"/>
      <c r="AC80" s="504"/>
      <c r="AD80" s="505"/>
      <c r="AF80" s="50"/>
    </row>
    <row r="81" spans="1:32" ht="26.25" customHeight="1" thickBot="1">
      <c r="A81" s="484" t="s">
        <v>590</v>
      </c>
      <c r="B81" s="484"/>
      <c r="C81" s="484"/>
      <c r="D81" s="484"/>
      <c r="E81" s="484"/>
      <c r="F81" s="37"/>
      <c r="G81" s="37"/>
      <c r="H81" s="38"/>
      <c r="I81" s="38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F81" s="50"/>
    </row>
    <row r="82" spans="1:32" ht="23.25" thickBot="1">
      <c r="A82" s="506" t="s">
        <v>111</v>
      </c>
      <c r="B82" s="507"/>
      <c r="C82" s="425" t="s">
        <v>2</v>
      </c>
      <c r="D82" s="425" t="s">
        <v>37</v>
      </c>
      <c r="E82" s="425" t="s">
        <v>121</v>
      </c>
      <c r="F82" s="486" t="s">
        <v>38</v>
      </c>
      <c r="G82" s="486"/>
      <c r="H82" s="486"/>
      <c r="I82" s="486"/>
      <c r="J82" s="486"/>
      <c r="K82" s="508" t="s">
        <v>58</v>
      </c>
      <c r="L82" s="509"/>
      <c r="M82" s="509"/>
      <c r="N82" s="509"/>
      <c r="O82" s="509"/>
      <c r="P82" s="509"/>
      <c r="Q82" s="509"/>
      <c r="R82" s="509"/>
      <c r="S82" s="510"/>
      <c r="T82" s="486" t="s">
        <v>49</v>
      </c>
      <c r="U82" s="486"/>
      <c r="V82" s="508" t="s">
        <v>50</v>
      </c>
      <c r="W82" s="510"/>
      <c r="X82" s="509" t="s">
        <v>51</v>
      </c>
      <c r="Y82" s="509"/>
      <c r="Z82" s="509"/>
      <c r="AA82" s="509"/>
      <c r="AB82" s="509"/>
      <c r="AC82" s="509"/>
      <c r="AD82" s="511"/>
      <c r="AF82" s="50"/>
    </row>
    <row r="83" spans="1:32" ht="33.75" customHeight="1">
      <c r="A83" s="478">
        <v>1</v>
      </c>
      <c r="B83" s="479"/>
      <c r="C83" s="424"/>
      <c r="D83" s="424"/>
      <c r="E83" s="65"/>
      <c r="F83" s="493"/>
      <c r="G83" s="494"/>
      <c r="H83" s="494"/>
      <c r="I83" s="494"/>
      <c r="J83" s="495"/>
      <c r="K83" s="496"/>
      <c r="L83" s="497"/>
      <c r="M83" s="497"/>
      <c r="N83" s="497"/>
      <c r="O83" s="497"/>
      <c r="P83" s="497"/>
      <c r="Q83" s="497"/>
      <c r="R83" s="497"/>
      <c r="S83" s="498"/>
      <c r="T83" s="499"/>
      <c r="U83" s="500"/>
      <c r="V83" s="501"/>
      <c r="W83" s="501"/>
      <c r="X83" s="502"/>
      <c r="Y83" s="502"/>
      <c r="Z83" s="502"/>
      <c r="AA83" s="502"/>
      <c r="AB83" s="502"/>
      <c r="AC83" s="502"/>
      <c r="AD83" s="503"/>
      <c r="AF83" s="50"/>
    </row>
    <row r="84" spans="1:32" ht="30" customHeight="1">
      <c r="A84" s="471">
        <f>A83+1</f>
        <v>2</v>
      </c>
      <c r="B84" s="472"/>
      <c r="C84" s="423"/>
      <c r="D84" s="423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ref="A85:A89" si="19">A84+1</f>
        <v>3</v>
      </c>
      <c r="B85" s="472"/>
      <c r="C85" s="423"/>
      <c r="D85" s="423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9"/>
        <v>4</v>
      </c>
      <c r="B86" s="472"/>
      <c r="C86" s="423"/>
      <c r="D86" s="423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9"/>
        <v>5</v>
      </c>
      <c r="B87" s="472"/>
      <c r="C87" s="423"/>
      <c r="D87" s="423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9"/>
        <v>6</v>
      </c>
      <c r="B88" s="472"/>
      <c r="C88" s="423"/>
      <c r="D88" s="423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0" customHeight="1">
      <c r="A89" s="471">
        <f t="shared" si="19"/>
        <v>7</v>
      </c>
      <c r="B89" s="472"/>
      <c r="C89" s="423"/>
      <c r="D89" s="423"/>
      <c r="E89" s="32"/>
      <c r="F89" s="472"/>
      <c r="G89" s="472"/>
      <c r="H89" s="472"/>
      <c r="I89" s="472"/>
      <c r="J89" s="472"/>
      <c r="K89" s="487"/>
      <c r="L89" s="488"/>
      <c r="M89" s="488"/>
      <c r="N89" s="488"/>
      <c r="O89" s="488"/>
      <c r="P89" s="488"/>
      <c r="Q89" s="488"/>
      <c r="R89" s="488"/>
      <c r="S89" s="489"/>
      <c r="T89" s="490"/>
      <c r="U89" s="490"/>
      <c r="V89" s="490"/>
      <c r="W89" s="490"/>
      <c r="X89" s="491"/>
      <c r="Y89" s="491"/>
      <c r="Z89" s="491"/>
      <c r="AA89" s="491"/>
      <c r="AB89" s="491"/>
      <c r="AC89" s="491"/>
      <c r="AD89" s="492"/>
      <c r="AF89" s="50"/>
    </row>
    <row r="90" spans="1:32" ht="36" thickBot="1">
      <c r="A90" s="484" t="s">
        <v>591</v>
      </c>
      <c r="B90" s="484"/>
      <c r="C90" s="484"/>
      <c r="D90" s="484"/>
      <c r="E90" s="484"/>
      <c r="F90" s="37"/>
      <c r="G90" s="37"/>
      <c r="H90" s="38"/>
      <c r="I90" s="38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F90" s="50"/>
    </row>
    <row r="91" spans="1:32" ht="30.75" customHeight="1" thickBot="1">
      <c r="A91" s="485" t="s">
        <v>111</v>
      </c>
      <c r="B91" s="486"/>
      <c r="C91" s="476" t="s">
        <v>52</v>
      </c>
      <c r="D91" s="476"/>
      <c r="E91" s="476" t="s">
        <v>53</v>
      </c>
      <c r="F91" s="476"/>
      <c r="G91" s="476"/>
      <c r="H91" s="476"/>
      <c r="I91" s="476"/>
      <c r="J91" s="476"/>
      <c r="K91" s="476" t="s">
        <v>54</v>
      </c>
      <c r="L91" s="476"/>
      <c r="M91" s="476"/>
      <c r="N91" s="476"/>
      <c r="O91" s="476"/>
      <c r="P91" s="476"/>
      <c r="Q91" s="476"/>
      <c r="R91" s="476"/>
      <c r="S91" s="476"/>
      <c r="T91" s="476" t="s">
        <v>55</v>
      </c>
      <c r="U91" s="476"/>
      <c r="V91" s="476" t="s">
        <v>56</v>
      </c>
      <c r="W91" s="476"/>
      <c r="X91" s="476"/>
      <c r="Y91" s="476" t="s">
        <v>51</v>
      </c>
      <c r="Z91" s="476"/>
      <c r="AA91" s="476"/>
      <c r="AB91" s="476"/>
      <c r="AC91" s="476"/>
      <c r="AD91" s="477"/>
      <c r="AF91" s="50"/>
    </row>
    <row r="92" spans="1:32" ht="30.75" customHeight="1">
      <c r="A92" s="478">
        <v>1</v>
      </c>
      <c r="B92" s="479"/>
      <c r="C92" s="480">
        <v>9</v>
      </c>
      <c r="D92" s="480"/>
      <c r="E92" s="480" t="s">
        <v>125</v>
      </c>
      <c r="F92" s="480"/>
      <c r="G92" s="480"/>
      <c r="H92" s="480"/>
      <c r="I92" s="480"/>
      <c r="J92" s="480"/>
      <c r="K92" s="480" t="s">
        <v>132</v>
      </c>
      <c r="L92" s="480"/>
      <c r="M92" s="480"/>
      <c r="N92" s="480"/>
      <c r="O92" s="480"/>
      <c r="P92" s="480"/>
      <c r="Q92" s="480"/>
      <c r="R92" s="480"/>
      <c r="S92" s="480"/>
      <c r="T92" s="480" t="s">
        <v>126</v>
      </c>
      <c r="U92" s="480"/>
      <c r="V92" s="481">
        <v>1900000</v>
      </c>
      <c r="W92" s="481"/>
      <c r="X92" s="481"/>
      <c r="Y92" s="482"/>
      <c r="Z92" s="482"/>
      <c r="AA92" s="482"/>
      <c r="AB92" s="482"/>
      <c r="AC92" s="482"/>
      <c r="AD92" s="483"/>
      <c r="AF92" s="50"/>
    </row>
    <row r="93" spans="1:32" ht="30.75" customHeight="1">
      <c r="A93" s="471">
        <v>2</v>
      </c>
      <c r="B93" s="472"/>
      <c r="C93" s="473"/>
      <c r="D93" s="473"/>
      <c r="E93" s="473"/>
      <c r="F93" s="473"/>
      <c r="G93" s="473"/>
      <c r="H93" s="473"/>
      <c r="I93" s="473"/>
      <c r="J93" s="473"/>
      <c r="K93" s="473"/>
      <c r="L93" s="473"/>
      <c r="M93" s="473"/>
      <c r="N93" s="473"/>
      <c r="O93" s="473"/>
      <c r="P93" s="473"/>
      <c r="Q93" s="473"/>
      <c r="R93" s="473"/>
      <c r="S93" s="473"/>
      <c r="T93" s="474"/>
      <c r="U93" s="474"/>
      <c r="V93" s="475"/>
      <c r="W93" s="475"/>
      <c r="X93" s="475"/>
      <c r="Y93" s="463"/>
      <c r="Z93" s="463"/>
      <c r="AA93" s="463"/>
      <c r="AB93" s="463"/>
      <c r="AC93" s="463"/>
      <c r="AD93" s="464"/>
      <c r="AF93" s="50"/>
    </row>
    <row r="94" spans="1:32" ht="30.75" customHeight="1" thickBot="1">
      <c r="A94" s="465">
        <v>3</v>
      </c>
      <c r="B94" s="466"/>
      <c r="C94" s="467"/>
      <c r="D94" s="467"/>
      <c r="E94" s="467"/>
      <c r="F94" s="467"/>
      <c r="G94" s="467"/>
      <c r="H94" s="467"/>
      <c r="I94" s="467"/>
      <c r="J94" s="467"/>
      <c r="K94" s="467"/>
      <c r="L94" s="467"/>
      <c r="M94" s="467"/>
      <c r="N94" s="467"/>
      <c r="O94" s="467"/>
      <c r="P94" s="467"/>
      <c r="Q94" s="467"/>
      <c r="R94" s="467"/>
      <c r="S94" s="467"/>
      <c r="T94" s="467"/>
      <c r="U94" s="467"/>
      <c r="V94" s="468"/>
      <c r="W94" s="468"/>
      <c r="X94" s="468"/>
      <c r="Y94" s="469"/>
      <c r="Z94" s="469"/>
      <c r="AA94" s="469"/>
      <c r="AB94" s="469"/>
      <c r="AC94" s="469"/>
      <c r="AD94" s="470"/>
      <c r="AF94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9:H29"/>
    <mergeCell ref="A56:E56"/>
    <mergeCell ref="A57:M57"/>
    <mergeCell ref="N57:AD57"/>
    <mergeCell ref="A58:B58"/>
    <mergeCell ref="F58:M58"/>
    <mergeCell ref="P58:Q58"/>
    <mergeCell ref="R58:U58"/>
    <mergeCell ref="V58:AD58"/>
    <mergeCell ref="I4:O4"/>
    <mergeCell ref="P4:Q4"/>
    <mergeCell ref="R4:V4"/>
    <mergeCell ref="W4:AA4"/>
    <mergeCell ref="AB4:AB5"/>
    <mergeCell ref="AC4:AC5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9:E69"/>
    <mergeCell ref="A70:B70"/>
    <mergeCell ref="F70:J70"/>
    <mergeCell ref="K70:L70"/>
    <mergeCell ref="N70:O70"/>
    <mergeCell ref="P70:Q70"/>
    <mergeCell ref="A67:B67"/>
    <mergeCell ref="F67:M67"/>
    <mergeCell ref="P67:Q67"/>
    <mergeCell ref="R70:AA70"/>
    <mergeCell ref="AB70:AD70"/>
    <mergeCell ref="A71:B71"/>
    <mergeCell ref="F71:J71"/>
    <mergeCell ref="K71:L71"/>
    <mergeCell ref="N71:O71"/>
    <mergeCell ref="P71:Q71"/>
    <mergeCell ref="R71:AA71"/>
    <mergeCell ref="AB71:AD71"/>
    <mergeCell ref="AB72:AD72"/>
    <mergeCell ref="A73:B73"/>
    <mergeCell ref="F73:J73"/>
    <mergeCell ref="K73:L73"/>
    <mergeCell ref="N73:O73"/>
    <mergeCell ref="P73:Q73"/>
    <mergeCell ref="R73:AA73"/>
    <mergeCell ref="AB73:AD73"/>
    <mergeCell ref="A72:B72"/>
    <mergeCell ref="F72:J72"/>
    <mergeCell ref="K72:L72"/>
    <mergeCell ref="N72:O72"/>
    <mergeCell ref="P72:Q72"/>
    <mergeCell ref="R72:AA72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E81"/>
    <mergeCell ref="A82:B82"/>
    <mergeCell ref="F82:J82"/>
    <mergeCell ref="K82:S82"/>
    <mergeCell ref="T82:U82"/>
    <mergeCell ref="V82:W82"/>
    <mergeCell ref="X82:AD82"/>
    <mergeCell ref="A80:B80"/>
    <mergeCell ref="F80:J80"/>
    <mergeCell ref="K80:L80"/>
    <mergeCell ref="N80:O80"/>
    <mergeCell ref="P80:Q80"/>
    <mergeCell ref="R80:AA80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90:E90"/>
    <mergeCell ref="A91:B91"/>
    <mergeCell ref="C91:D91"/>
    <mergeCell ref="E91:J91"/>
    <mergeCell ref="K91:S91"/>
    <mergeCell ref="T91:U91"/>
    <mergeCell ref="A89:B89"/>
    <mergeCell ref="F89:J89"/>
    <mergeCell ref="K89:S89"/>
    <mergeCell ref="T89:U89"/>
    <mergeCell ref="V91:X91"/>
    <mergeCell ref="Y91:AD91"/>
    <mergeCell ref="A92:B92"/>
    <mergeCell ref="C92:D92"/>
    <mergeCell ref="E92:J92"/>
    <mergeCell ref="K92:S92"/>
    <mergeCell ref="T92:U92"/>
    <mergeCell ref="V92:X92"/>
    <mergeCell ref="Y92:AD92"/>
    <mergeCell ref="Y93:AD93"/>
    <mergeCell ref="A94:B94"/>
    <mergeCell ref="C94:D94"/>
    <mergeCell ref="E94:J94"/>
    <mergeCell ref="K94:S94"/>
    <mergeCell ref="T94:U94"/>
    <mergeCell ref="V94:X94"/>
    <mergeCell ref="Y94:AD94"/>
    <mergeCell ref="A93:B93"/>
    <mergeCell ref="C93:D93"/>
    <mergeCell ref="E93:J93"/>
    <mergeCell ref="K93:S93"/>
    <mergeCell ref="T93:U93"/>
    <mergeCell ref="V93:X93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4" max="29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744F-D894-41E2-B178-641FF9419AA9}">
  <sheetPr>
    <pageSetUpPr fitToPage="1"/>
  </sheetPr>
  <dimension ref="A1:AF93"/>
  <sheetViews>
    <sheetView view="pageBreakPreview" zoomScale="70" zoomScaleNormal="72" zoomScaleSheetLayoutView="70" workbookViewId="0">
      <selection activeCell="A90" sqref="A90:B9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592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436" t="s">
        <v>17</v>
      </c>
      <c r="L5" s="436" t="s">
        <v>18</v>
      </c>
      <c r="M5" s="436" t="s">
        <v>19</v>
      </c>
      <c r="N5" s="43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112</v>
      </c>
      <c r="D6" s="52" t="s">
        <v>475</v>
      </c>
      <c r="E6" s="53" t="s">
        <v>578</v>
      </c>
      <c r="F6" s="30" t="s">
        <v>141</v>
      </c>
      <c r="G6" s="12">
        <v>1</v>
      </c>
      <c r="H6" s="13">
        <v>24</v>
      </c>
      <c r="I6" s="31">
        <v>5000</v>
      </c>
      <c r="J6" s="14">
        <v>1251</v>
      </c>
      <c r="K6" s="15">
        <f>L6+3905</f>
        <v>5156</v>
      </c>
      <c r="L6" s="15">
        <v>1251</v>
      </c>
      <c r="M6" s="15">
        <f t="shared" ref="M6:M27" si="0">L6-N6</f>
        <v>1251</v>
      </c>
      <c r="N6" s="15">
        <v>0</v>
      </c>
      <c r="O6" s="58">
        <f t="shared" ref="O6:O28" si="1">IF(L6=0,"0",N6/L6)</f>
        <v>0</v>
      </c>
      <c r="P6" s="39">
        <f t="shared" ref="P6:P27" si="2">IF(L6=0,"0",(24-Q6))</f>
        <v>6</v>
      </c>
      <c r="Q6" s="40">
        <f t="shared" ref="Q6:Q27" si="3">SUM(R6:AA6)</f>
        <v>18</v>
      </c>
      <c r="R6" s="7"/>
      <c r="S6" s="6"/>
      <c r="T6" s="16"/>
      <c r="U6" s="16"/>
      <c r="V6" s="17"/>
      <c r="W6" s="5">
        <v>18</v>
      </c>
      <c r="X6" s="16"/>
      <c r="Y6" s="16"/>
      <c r="Z6" s="16"/>
      <c r="AA6" s="18"/>
      <c r="AB6" s="8">
        <f t="shared" ref="AB6:AB27" si="4">IF(J6=0,"0",(L6/J6))</f>
        <v>1</v>
      </c>
      <c r="AC6" s="9">
        <f t="shared" ref="AC6:AC27" si="5">IF(P6=0,"0",(P6/24))</f>
        <v>0.25</v>
      </c>
      <c r="AD6" s="10">
        <f t="shared" ref="AD6:AD27" si="6">AC6*AB6*(1-O6)</f>
        <v>0.25</v>
      </c>
      <c r="AE6" s="36">
        <f t="shared" ref="AE6:AE27" si="7">$AD$28</f>
        <v>0.46969696969696972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180000</v>
      </c>
      <c r="J7" s="14">
        <v>9828</v>
      </c>
      <c r="K7" s="15">
        <f>L7+4540+5413+4776+3810+3773+2780+4786+5910+5528+3614+7707</f>
        <v>62465</v>
      </c>
      <c r="L7" s="15">
        <f>3221*2+1693*2</f>
        <v>9828</v>
      </c>
      <c r="M7" s="15">
        <f t="shared" si="0"/>
        <v>9828</v>
      </c>
      <c r="N7" s="15">
        <v>0</v>
      </c>
      <c r="O7" s="58">
        <f t="shared" si="1"/>
        <v>0</v>
      </c>
      <c r="P7" s="39">
        <f t="shared" si="2"/>
        <v>22</v>
      </c>
      <c r="Q7" s="40">
        <f t="shared" si="3"/>
        <v>2</v>
      </c>
      <c r="R7" s="7"/>
      <c r="S7" s="6">
        <v>2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0.91666666666666663</v>
      </c>
      <c r="AD7" s="10">
        <f t="shared" si="6"/>
        <v>0.91666666666666663</v>
      </c>
      <c r="AE7" s="36">
        <f t="shared" si="7"/>
        <v>0.46969696969696972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180000</v>
      </c>
      <c r="J8" s="14">
        <v>3504</v>
      </c>
      <c r="K8" s="15">
        <f>L8+8132+2262+5886+10522+11854+11762+11766+11818+11592+5898+11758+11820+11712+11856+11816+5182+6610+11708+11840+11830+11734</f>
        <v>212862</v>
      </c>
      <c r="L8" s="15">
        <f>1752*2</f>
        <v>3504</v>
      </c>
      <c r="M8" s="15">
        <f t="shared" si="0"/>
        <v>3504</v>
      </c>
      <c r="N8" s="15">
        <v>0</v>
      </c>
      <c r="O8" s="58">
        <f t="shared" si="1"/>
        <v>0</v>
      </c>
      <c r="P8" s="39">
        <f t="shared" si="2"/>
        <v>8</v>
      </c>
      <c r="Q8" s="40">
        <f t="shared" si="3"/>
        <v>16</v>
      </c>
      <c r="R8" s="7"/>
      <c r="S8" s="6">
        <v>16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0.33333333333333331</v>
      </c>
      <c r="AD8" s="10">
        <f t="shared" si="6"/>
        <v>0.33333333333333331</v>
      </c>
      <c r="AE8" s="36">
        <f t="shared" si="7"/>
        <v>0.46969696969696972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180000</v>
      </c>
      <c r="J9" s="14">
        <v>11754</v>
      </c>
      <c r="K9" s="15">
        <f>L9+10280+10788+10818+10814+11584+6366+11696+11770+11638+11800+8836+5222+10904+11636+11670+11786+11714</f>
        <v>191076</v>
      </c>
      <c r="L9" s="15">
        <f>3074*2+2803*2</f>
        <v>11754</v>
      </c>
      <c r="M9" s="15">
        <f t="shared" si="0"/>
        <v>11754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0.46969696969696972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112</v>
      </c>
      <c r="D10" s="52" t="s">
        <v>434</v>
      </c>
      <c r="E10" s="53" t="s">
        <v>572</v>
      </c>
      <c r="F10" s="30" t="s">
        <v>140</v>
      </c>
      <c r="G10" s="33">
        <v>2</v>
      </c>
      <c r="H10" s="35">
        <v>24</v>
      </c>
      <c r="I10" s="7">
        <v>20000</v>
      </c>
      <c r="J10" s="14">
        <v>9012</v>
      </c>
      <c r="K10" s="15">
        <f>L10+11700</f>
        <v>20712</v>
      </c>
      <c r="L10" s="15">
        <f>1703*2+2803*2</f>
        <v>9012</v>
      </c>
      <c r="M10" s="15">
        <f t="shared" si="0"/>
        <v>9012</v>
      </c>
      <c r="N10" s="15">
        <v>0</v>
      </c>
      <c r="O10" s="58">
        <f t="shared" si="1"/>
        <v>0</v>
      </c>
      <c r="P10" s="39">
        <f t="shared" si="2"/>
        <v>21</v>
      </c>
      <c r="Q10" s="40">
        <f t="shared" si="3"/>
        <v>3</v>
      </c>
      <c r="R10" s="7"/>
      <c r="S10" s="6"/>
      <c r="T10" s="16"/>
      <c r="U10" s="16"/>
      <c r="V10" s="17"/>
      <c r="W10" s="5">
        <v>3</v>
      </c>
      <c r="X10" s="16"/>
      <c r="Y10" s="16"/>
      <c r="Z10" s="16"/>
      <c r="AA10" s="18"/>
      <c r="AB10" s="8">
        <f t="shared" si="4"/>
        <v>1</v>
      </c>
      <c r="AC10" s="9">
        <f t="shared" si="5"/>
        <v>0.875</v>
      </c>
      <c r="AD10" s="10">
        <f t="shared" si="6"/>
        <v>0.875</v>
      </c>
      <c r="AE10" s="36">
        <f t="shared" si="7"/>
        <v>0.46969696969696972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340</v>
      </c>
      <c r="E11" s="53" t="s">
        <v>573</v>
      </c>
      <c r="F11" s="30" t="s">
        <v>128</v>
      </c>
      <c r="G11" s="33">
        <v>1</v>
      </c>
      <c r="H11" s="35">
        <v>24</v>
      </c>
      <c r="I11" s="7">
        <v>5000</v>
      </c>
      <c r="J11" s="14">
        <v>4172</v>
      </c>
      <c r="K11" s="15">
        <f>L11+5381</f>
        <v>9553</v>
      </c>
      <c r="L11" s="15">
        <f>1343+2829</f>
        <v>4172</v>
      </c>
      <c r="M11" s="15">
        <f t="shared" si="0"/>
        <v>4172</v>
      </c>
      <c r="N11" s="15">
        <v>0</v>
      </c>
      <c r="O11" s="58">
        <f t="shared" si="1"/>
        <v>0</v>
      </c>
      <c r="P11" s="39">
        <f t="shared" si="2"/>
        <v>20</v>
      </c>
      <c r="Q11" s="40">
        <f t="shared" si="3"/>
        <v>4</v>
      </c>
      <c r="R11" s="7"/>
      <c r="S11" s="6"/>
      <c r="T11" s="16"/>
      <c r="U11" s="16"/>
      <c r="V11" s="17"/>
      <c r="W11" s="5">
        <v>4</v>
      </c>
      <c r="X11" s="16"/>
      <c r="Y11" s="16"/>
      <c r="Z11" s="16"/>
      <c r="AA11" s="18"/>
      <c r="AB11" s="8">
        <f t="shared" si="4"/>
        <v>1</v>
      </c>
      <c r="AC11" s="9">
        <f t="shared" si="5"/>
        <v>0.83333333333333337</v>
      </c>
      <c r="AD11" s="10">
        <f t="shared" si="6"/>
        <v>0.83333333333333337</v>
      </c>
      <c r="AE11" s="36">
        <f t="shared" si="7"/>
        <v>0.46969696969696972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115</v>
      </c>
      <c r="E12" s="53" t="s">
        <v>579</v>
      </c>
      <c r="F12" s="30" t="s">
        <v>140</v>
      </c>
      <c r="G12" s="12">
        <v>1</v>
      </c>
      <c r="H12" s="13">
        <v>22</v>
      </c>
      <c r="I12" s="31">
        <v>5000</v>
      </c>
      <c r="J12" s="5">
        <v>401</v>
      </c>
      <c r="K12" s="15">
        <f>L12+2328</f>
        <v>2729</v>
      </c>
      <c r="L12" s="15">
        <v>401</v>
      </c>
      <c r="M12" s="15">
        <f t="shared" si="0"/>
        <v>401</v>
      </c>
      <c r="N12" s="15">
        <v>0</v>
      </c>
      <c r="O12" s="58">
        <f t="shared" si="1"/>
        <v>0</v>
      </c>
      <c r="P12" s="39">
        <f t="shared" si="2"/>
        <v>4</v>
      </c>
      <c r="Q12" s="40">
        <f t="shared" si="3"/>
        <v>20</v>
      </c>
      <c r="R12" s="7"/>
      <c r="S12" s="6">
        <v>20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0.16666666666666666</v>
      </c>
      <c r="AD12" s="10">
        <f t="shared" si="6"/>
        <v>0.16666666666666666</v>
      </c>
      <c r="AE12" s="36">
        <f t="shared" si="7"/>
        <v>0.46969696969696972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322</v>
      </c>
      <c r="E13" s="53" t="s">
        <v>323</v>
      </c>
      <c r="F13" s="30" t="s">
        <v>324</v>
      </c>
      <c r="G13" s="33">
        <v>1</v>
      </c>
      <c r="H13" s="35">
        <v>22</v>
      </c>
      <c r="I13" s="7">
        <v>6000</v>
      </c>
      <c r="J13" s="14">
        <v>5377</v>
      </c>
      <c r="K13" s="15">
        <f>L13+5323</f>
        <v>10700</v>
      </c>
      <c r="L13" s="15">
        <f>2700+2677</f>
        <v>5377</v>
      </c>
      <c r="M13" s="15">
        <f t="shared" si="0"/>
        <v>5377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6"/>
        <v>1</v>
      </c>
      <c r="AE13" s="36">
        <f t="shared" si="7"/>
        <v>0.46969696969696972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232</v>
      </c>
      <c r="D14" s="52" t="s">
        <v>477</v>
      </c>
      <c r="E14" s="53" t="s">
        <v>469</v>
      </c>
      <c r="F14" s="30" t="s">
        <v>171</v>
      </c>
      <c r="G14" s="33">
        <v>1</v>
      </c>
      <c r="H14" s="35">
        <v>50</v>
      </c>
      <c r="I14" s="7">
        <v>700</v>
      </c>
      <c r="J14" s="5">
        <v>750</v>
      </c>
      <c r="K14" s="15">
        <f>L14+750</f>
        <v>750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0.46969696969696972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52000</v>
      </c>
      <c r="J15" s="14">
        <v>26300</v>
      </c>
      <c r="K15" s="15">
        <f>L15+17004+25452+26300</f>
        <v>68756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0.46969696969696972</v>
      </c>
      <c r="AF15" s="84">
        <f t="shared" si="8"/>
        <v>10</v>
      </c>
    </row>
    <row r="16" spans="1:32" ht="27" customHeight="1">
      <c r="A16" s="112">
        <v>11</v>
      </c>
      <c r="B16" s="11" t="s">
        <v>57</v>
      </c>
      <c r="C16" s="34" t="s">
        <v>112</v>
      </c>
      <c r="D16" s="52" t="s">
        <v>115</v>
      </c>
      <c r="E16" s="53" t="s">
        <v>260</v>
      </c>
      <c r="F16" s="30" t="s">
        <v>128</v>
      </c>
      <c r="G16" s="12">
        <v>1</v>
      </c>
      <c r="H16" s="13">
        <v>24</v>
      </c>
      <c r="I16" s="7">
        <v>22000</v>
      </c>
      <c r="J16" s="14">
        <v>5361</v>
      </c>
      <c r="K16" s="15">
        <f>L16+3583+5369+5344</f>
        <v>19657</v>
      </c>
      <c r="L16" s="15">
        <f>2808+2553</f>
        <v>5361</v>
      </c>
      <c r="M16" s="15">
        <f t="shared" si="0"/>
        <v>5361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6"/>
        <v>1</v>
      </c>
      <c r="AE16" s="36">
        <f t="shared" si="7"/>
        <v>0.46969696969696972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138</v>
      </c>
      <c r="D17" s="52"/>
      <c r="E17" s="53" t="s">
        <v>523</v>
      </c>
      <c r="F17" s="30" t="s">
        <v>530</v>
      </c>
      <c r="G17" s="12">
        <v>5</v>
      </c>
      <c r="H17" s="13">
        <v>24</v>
      </c>
      <c r="I17" s="7">
        <v>200000</v>
      </c>
      <c r="J17" s="14">
        <v>40885</v>
      </c>
      <c r="K17" s="15">
        <f>L17+26370+39325+19755+18405</f>
        <v>144740</v>
      </c>
      <c r="L17" s="15">
        <f>4281*5+3896*5</f>
        <v>40885</v>
      </c>
      <c r="M17" s="15">
        <f t="shared" si="0"/>
        <v>40885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6"/>
        <v>1</v>
      </c>
      <c r="AE17" s="36">
        <f t="shared" si="7"/>
        <v>0.46969696969696972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434</v>
      </c>
      <c r="E18" s="53" t="s">
        <v>580</v>
      </c>
      <c r="F18" s="30" t="s">
        <v>140</v>
      </c>
      <c r="G18" s="33">
        <v>2</v>
      </c>
      <c r="H18" s="35">
        <v>24</v>
      </c>
      <c r="I18" s="7">
        <v>20000</v>
      </c>
      <c r="J18" s="14">
        <v>12520</v>
      </c>
      <c r="K18" s="15">
        <f>L18+7826</f>
        <v>20346</v>
      </c>
      <c r="L18" s="15">
        <f>3342*2+2918*2</f>
        <v>12520</v>
      </c>
      <c r="M18" s="15">
        <f t="shared" si="0"/>
        <v>12520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6"/>
        <v>1</v>
      </c>
      <c r="AE18" s="36">
        <f t="shared" si="7"/>
        <v>0.46969696969696972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112</v>
      </c>
      <c r="D19" s="52" t="s">
        <v>137</v>
      </c>
      <c r="E19" s="53" t="s">
        <v>586</v>
      </c>
      <c r="F19" s="30" t="s">
        <v>130</v>
      </c>
      <c r="G19" s="33">
        <v>1</v>
      </c>
      <c r="H19" s="35">
        <v>24</v>
      </c>
      <c r="I19" s="7">
        <v>14000</v>
      </c>
      <c r="J19" s="14">
        <v>4841</v>
      </c>
      <c r="K19" s="15">
        <f>L19</f>
        <v>4841</v>
      </c>
      <c r="L19" s="15">
        <f>1972+2869</f>
        <v>4841</v>
      </c>
      <c r="M19" s="15">
        <f t="shared" si="0"/>
        <v>4841</v>
      </c>
      <c r="N19" s="15">
        <v>0</v>
      </c>
      <c r="O19" s="58">
        <f t="shared" si="1"/>
        <v>0</v>
      </c>
      <c r="P19" s="39">
        <f t="shared" si="2"/>
        <v>23</v>
      </c>
      <c r="Q19" s="40">
        <f t="shared" si="3"/>
        <v>1</v>
      </c>
      <c r="R19" s="7"/>
      <c r="S19" s="6"/>
      <c r="T19" s="16">
        <v>1</v>
      </c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0.95833333333333337</v>
      </c>
      <c r="AD19" s="10">
        <f t="shared" si="6"/>
        <v>0.95833333333333337</v>
      </c>
      <c r="AE19" s="36">
        <f t="shared" si="7"/>
        <v>0.46969696969696972</v>
      </c>
      <c r="AF19" s="84">
        <f t="shared" si="8"/>
        <v>14</v>
      </c>
    </row>
    <row r="20" spans="1:32" ht="27" customHeight="1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206</v>
      </c>
      <c r="G20" s="12">
        <v>1</v>
      </c>
      <c r="H20" s="13">
        <v>24</v>
      </c>
      <c r="I20" s="7">
        <v>230000</v>
      </c>
      <c r="J20" s="14">
        <v>10526</v>
      </c>
      <c r="K20" s="15">
        <f>L20+7008+11154+9077+8768+10676+10588+2521+7242+10236+10216+10614+10620+10632+10760+10206+10892+10136+10692+10896+9992+10630+10894+7459+6981+3140+4342+308+5171+4481+8214+10962+10104</f>
        <v>286138</v>
      </c>
      <c r="L20" s="15">
        <f>2349*2+2914*2</f>
        <v>10526</v>
      </c>
      <c r="M20" s="15">
        <f t="shared" si="0"/>
        <v>10526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0.46969696969696972</v>
      </c>
      <c r="AF20" s="84">
        <f t="shared" si="8"/>
        <v>15</v>
      </c>
    </row>
    <row r="21" spans="1:32" ht="26.25" customHeight="1">
      <c r="A21" s="96">
        <v>16</v>
      </c>
      <c r="B21" s="11" t="s">
        <v>57</v>
      </c>
      <c r="C21" s="11" t="s">
        <v>113</v>
      </c>
      <c r="D21" s="52"/>
      <c r="E21" s="53" t="s">
        <v>134</v>
      </c>
      <c r="F21" s="12" t="s">
        <v>114</v>
      </c>
      <c r="G21" s="12">
        <v>4</v>
      </c>
      <c r="H21" s="35">
        <v>20</v>
      </c>
      <c r="I21" s="7">
        <v>1000000</v>
      </c>
      <c r="J21" s="14">
        <v>58848</v>
      </c>
      <c r="K21" s="15">
        <f>L21+50740+61508+62116+62068+58848</f>
        <v>295280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0.46969696969696972</v>
      </c>
      <c r="AF21" s="84">
        <f t="shared" si="8"/>
        <v>16</v>
      </c>
    </row>
    <row r="22" spans="1:32" ht="18.75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/>
      <c r="W22" s="5">
        <v>24</v>
      </c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0.46969696969696972</v>
      </c>
      <c r="AF22" s="84">
        <f t="shared" si="8"/>
        <v>31</v>
      </c>
    </row>
    <row r="23" spans="1:32" ht="18.75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0.46969696969696972</v>
      </c>
      <c r="AF23" s="84">
        <f t="shared" si="8"/>
        <v>32</v>
      </c>
    </row>
    <row r="24" spans="1:32" ht="18.75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3244</v>
      </c>
      <c r="K24" s="15">
        <f>L24+4387+7770+5806+7905+7479+7369+7360+2397+6904+7208+7013+6976+6992+2652+6495+7026+7051+7084+4297+6519+7042+3244</f>
        <v>136976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20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0.46969696969696972</v>
      </c>
      <c r="AF24" s="84">
        <f t="shared" si="8"/>
        <v>33</v>
      </c>
    </row>
    <row r="25" spans="1:32" ht="28.5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0.46969696969696972</v>
      </c>
      <c r="AF25" s="84">
        <f t="shared" si="8"/>
        <v>34</v>
      </c>
    </row>
    <row r="26" spans="1:32" ht="28.5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0.46969696969696972</v>
      </c>
      <c r="AF26" s="84">
        <f t="shared" si="8"/>
        <v>35</v>
      </c>
    </row>
    <row r="27" spans="1:32" ht="19.5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1300000</v>
      </c>
      <c r="J27" s="14">
        <v>199470</v>
      </c>
      <c r="K27" s="15">
        <f>L27+356070+486150+492600+465600+199470</f>
        <v>1999890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15</v>
      </c>
      <c r="R27" s="7"/>
      <c r="S27" s="6"/>
      <c r="T27" s="16"/>
      <c r="U27" s="16"/>
      <c r="V27" s="120"/>
      <c r="W27" s="5">
        <v>15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0.46969696969696972</v>
      </c>
      <c r="AF27" s="84">
        <f t="shared" si="8"/>
        <v>36</v>
      </c>
    </row>
    <row r="28" spans="1:32" ht="19.5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9">SUM(I6:I27)</f>
        <v>4039700</v>
      </c>
      <c r="J28" s="19">
        <f t="shared" si="9"/>
        <v>429632</v>
      </c>
      <c r="K28" s="20">
        <f t="shared" si="9"/>
        <v>4032271</v>
      </c>
      <c r="L28" s="21">
        <f t="shared" si="9"/>
        <v>119432</v>
      </c>
      <c r="M28" s="20">
        <f t="shared" si="9"/>
        <v>119432</v>
      </c>
      <c r="N28" s="21">
        <f t="shared" si="9"/>
        <v>0</v>
      </c>
      <c r="O28" s="41">
        <f t="shared" si="1"/>
        <v>0</v>
      </c>
      <c r="P28" s="42">
        <f t="shared" ref="P28:AA28" si="10">SUM(P6:P27)</f>
        <v>248</v>
      </c>
      <c r="Q28" s="43">
        <f t="shared" si="10"/>
        <v>247</v>
      </c>
      <c r="R28" s="23">
        <f t="shared" si="10"/>
        <v>0</v>
      </c>
      <c r="S28" s="24">
        <f t="shared" si="10"/>
        <v>38</v>
      </c>
      <c r="T28" s="24">
        <f t="shared" si="10"/>
        <v>1</v>
      </c>
      <c r="U28" s="24">
        <f t="shared" si="10"/>
        <v>0</v>
      </c>
      <c r="V28" s="25">
        <f t="shared" si="10"/>
        <v>24</v>
      </c>
      <c r="W28" s="26">
        <f t="shared" si="10"/>
        <v>184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0</v>
      </c>
      <c r="AB28" s="28">
        <f>AVERAGE(AB6:AB27)</f>
        <v>0.65</v>
      </c>
      <c r="AC28" s="4">
        <f>AVERAGE(AC6:AC27)</f>
        <v>0.46969696969696972</v>
      </c>
      <c r="AD28" s="4">
        <f>AVERAGE(AD6:AD27)</f>
        <v>0.46969696969696972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593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597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437" t="s">
        <v>46</v>
      </c>
      <c r="D57" s="437" t="s">
        <v>47</v>
      </c>
      <c r="E57" s="437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437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43" t="s">
        <v>138</v>
      </c>
      <c r="B58" s="533"/>
      <c r="C58" s="440" t="s">
        <v>217</v>
      </c>
      <c r="D58" s="440" t="s">
        <v>142</v>
      </c>
      <c r="E58" s="440" t="s">
        <v>241</v>
      </c>
      <c r="F58" s="530" t="s">
        <v>594</v>
      </c>
      <c r="G58" s="531"/>
      <c r="H58" s="531"/>
      <c r="I58" s="531"/>
      <c r="J58" s="531"/>
      <c r="K58" s="531"/>
      <c r="L58" s="531"/>
      <c r="M58" s="532"/>
      <c r="N58" s="439" t="s">
        <v>138</v>
      </c>
      <c r="O58" s="445" t="s">
        <v>217</v>
      </c>
      <c r="P58" s="544" t="s">
        <v>142</v>
      </c>
      <c r="Q58" s="545"/>
      <c r="R58" s="544" t="s">
        <v>241</v>
      </c>
      <c r="S58" s="546"/>
      <c r="T58" s="546"/>
      <c r="U58" s="545"/>
      <c r="V58" s="517" t="s">
        <v>120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43" t="s">
        <v>112</v>
      </c>
      <c r="B59" s="533"/>
      <c r="C59" s="440" t="s">
        <v>287</v>
      </c>
      <c r="D59" s="440" t="s">
        <v>115</v>
      </c>
      <c r="E59" s="440" t="s">
        <v>579</v>
      </c>
      <c r="F59" s="530" t="s">
        <v>595</v>
      </c>
      <c r="G59" s="531"/>
      <c r="H59" s="531"/>
      <c r="I59" s="531"/>
      <c r="J59" s="531"/>
      <c r="K59" s="531"/>
      <c r="L59" s="531"/>
      <c r="M59" s="532"/>
      <c r="N59" s="439" t="s">
        <v>112</v>
      </c>
      <c r="O59" s="445" t="s">
        <v>287</v>
      </c>
      <c r="P59" s="544" t="s">
        <v>115</v>
      </c>
      <c r="Q59" s="545"/>
      <c r="R59" s="544" t="s">
        <v>579</v>
      </c>
      <c r="S59" s="546"/>
      <c r="T59" s="546"/>
      <c r="U59" s="545"/>
      <c r="V59" s="517" t="s">
        <v>120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112</v>
      </c>
      <c r="B60" s="533"/>
      <c r="C60" s="440" t="s">
        <v>161</v>
      </c>
      <c r="D60" s="440" t="s">
        <v>137</v>
      </c>
      <c r="E60" s="440" t="s">
        <v>586</v>
      </c>
      <c r="F60" s="530" t="s">
        <v>124</v>
      </c>
      <c r="G60" s="531"/>
      <c r="H60" s="531"/>
      <c r="I60" s="531"/>
      <c r="J60" s="531"/>
      <c r="K60" s="531"/>
      <c r="L60" s="531"/>
      <c r="M60" s="532"/>
      <c r="N60" s="439"/>
      <c r="O60" s="445"/>
      <c r="P60" s="544"/>
      <c r="Q60" s="545"/>
      <c r="R60" s="544"/>
      <c r="S60" s="546"/>
      <c r="T60" s="546"/>
      <c r="U60" s="545"/>
      <c r="V60" s="517"/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112</v>
      </c>
      <c r="B61" s="533"/>
      <c r="C61" s="440" t="s">
        <v>346</v>
      </c>
      <c r="D61" s="440" t="s">
        <v>115</v>
      </c>
      <c r="E61" s="440" t="s">
        <v>596</v>
      </c>
      <c r="F61" s="530" t="s">
        <v>172</v>
      </c>
      <c r="G61" s="531"/>
      <c r="H61" s="531"/>
      <c r="I61" s="531"/>
      <c r="J61" s="531"/>
      <c r="K61" s="531"/>
      <c r="L61" s="531"/>
      <c r="M61" s="532"/>
      <c r="N61" s="439"/>
      <c r="O61" s="445"/>
      <c r="P61" s="544"/>
      <c r="Q61" s="545"/>
      <c r="R61" s="544"/>
      <c r="S61" s="546"/>
      <c r="T61" s="546"/>
      <c r="U61" s="545"/>
      <c r="V61" s="517"/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/>
      <c r="B62" s="533"/>
      <c r="C62" s="440"/>
      <c r="D62" s="440"/>
      <c r="E62" s="440"/>
      <c r="F62" s="530"/>
      <c r="G62" s="531"/>
      <c r="H62" s="531"/>
      <c r="I62" s="531"/>
      <c r="J62" s="531"/>
      <c r="K62" s="531"/>
      <c r="L62" s="531"/>
      <c r="M62" s="532"/>
      <c r="N62" s="439"/>
      <c r="O62" s="445"/>
      <c r="P62" s="544"/>
      <c r="Q62" s="545"/>
      <c r="R62" s="544"/>
      <c r="S62" s="546"/>
      <c r="T62" s="546"/>
      <c r="U62" s="545"/>
      <c r="V62" s="517"/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/>
      <c r="B63" s="533"/>
      <c r="C63" s="440"/>
      <c r="D63" s="440"/>
      <c r="E63" s="440"/>
      <c r="F63" s="530"/>
      <c r="G63" s="531"/>
      <c r="H63" s="531"/>
      <c r="I63" s="531"/>
      <c r="J63" s="531"/>
      <c r="K63" s="531"/>
      <c r="L63" s="531"/>
      <c r="M63" s="532"/>
      <c r="N63" s="439"/>
      <c r="O63" s="445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440"/>
      <c r="D64" s="440"/>
      <c r="E64" s="440"/>
      <c r="F64" s="530"/>
      <c r="G64" s="531"/>
      <c r="H64" s="531"/>
      <c r="I64" s="531"/>
      <c r="J64" s="531"/>
      <c r="K64" s="531"/>
      <c r="L64" s="531"/>
      <c r="M64" s="532"/>
      <c r="N64" s="439"/>
      <c r="O64" s="445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438"/>
      <c r="D65" s="438"/>
      <c r="E65" s="440"/>
      <c r="F65" s="530"/>
      <c r="G65" s="531"/>
      <c r="H65" s="531"/>
      <c r="I65" s="531"/>
      <c r="J65" s="531"/>
      <c r="K65" s="531"/>
      <c r="L65" s="531"/>
      <c r="M65" s="532"/>
      <c r="N65" s="439"/>
      <c r="O65" s="445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438"/>
      <c r="D66" s="438"/>
      <c r="E66" s="440"/>
      <c r="F66" s="530"/>
      <c r="G66" s="531"/>
      <c r="H66" s="531"/>
      <c r="I66" s="531"/>
      <c r="J66" s="531"/>
      <c r="K66" s="531"/>
      <c r="L66" s="531"/>
      <c r="M66" s="532"/>
      <c r="N66" s="439"/>
      <c r="O66" s="445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441"/>
      <c r="D67" s="442"/>
      <c r="E67" s="441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598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443" t="s">
        <v>2</v>
      </c>
      <c r="D69" s="443" t="s">
        <v>37</v>
      </c>
      <c r="E69" s="443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443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 t="s">
        <v>163</v>
      </c>
      <c r="D70" s="447"/>
      <c r="E70" s="444"/>
      <c r="F70" s="514" t="s">
        <v>394</v>
      </c>
      <c r="G70" s="504"/>
      <c r="H70" s="504"/>
      <c r="I70" s="504"/>
      <c r="J70" s="504"/>
      <c r="K70" s="504" t="s">
        <v>141</v>
      </c>
      <c r="L70" s="504"/>
      <c r="M70" s="51" t="s">
        <v>588</v>
      </c>
      <c r="N70" s="515" t="s">
        <v>307</v>
      </c>
      <c r="O70" s="515"/>
      <c r="P70" s="516">
        <v>100</v>
      </c>
      <c r="Q70" s="516"/>
      <c r="R70" s="517" t="s">
        <v>589</v>
      </c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 t="s">
        <v>116</v>
      </c>
      <c r="D71" s="447"/>
      <c r="E71" s="444" t="s">
        <v>122</v>
      </c>
      <c r="F71" s="518" t="s">
        <v>539</v>
      </c>
      <c r="G71" s="519"/>
      <c r="H71" s="519"/>
      <c r="I71" s="519"/>
      <c r="J71" s="520"/>
      <c r="K71" s="504" t="s">
        <v>140</v>
      </c>
      <c r="L71" s="504"/>
      <c r="M71" s="51" t="s">
        <v>334</v>
      </c>
      <c r="N71" s="515" t="s">
        <v>167</v>
      </c>
      <c r="O71" s="515"/>
      <c r="P71" s="516">
        <v>100</v>
      </c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/>
      <c r="D72" s="447"/>
      <c r="E72" s="444"/>
      <c r="F72" s="518"/>
      <c r="G72" s="519"/>
      <c r="H72" s="519"/>
      <c r="I72" s="519"/>
      <c r="J72" s="520"/>
      <c r="K72" s="504"/>
      <c r="L72" s="504"/>
      <c r="M72" s="51"/>
      <c r="N72" s="515"/>
      <c r="O72" s="515"/>
      <c r="P72" s="516"/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/>
      <c r="D73" s="447"/>
      <c r="E73" s="444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/>
      <c r="D74" s="447"/>
      <c r="E74" s="444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/>
      <c r="D75" s="447"/>
      <c r="E75" s="444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/>
      <c r="D76" s="447"/>
      <c r="E76" s="444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447"/>
      <c r="E77" s="444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447"/>
      <c r="E78" s="444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447"/>
      <c r="E79" s="444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599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446" t="s">
        <v>2</v>
      </c>
      <c r="D81" s="446" t="s">
        <v>37</v>
      </c>
      <c r="E81" s="446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448"/>
      <c r="D82" s="448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447"/>
      <c r="D83" s="447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1">A83+1</f>
        <v>3</v>
      </c>
      <c r="B84" s="472"/>
      <c r="C84" s="447"/>
      <c r="D84" s="447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1"/>
        <v>4</v>
      </c>
      <c r="B85" s="472"/>
      <c r="C85" s="447"/>
      <c r="D85" s="447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1"/>
        <v>5</v>
      </c>
      <c r="B86" s="472"/>
      <c r="C86" s="447"/>
      <c r="D86" s="447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1"/>
        <v>6</v>
      </c>
      <c r="B87" s="472"/>
      <c r="C87" s="447"/>
      <c r="D87" s="447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1"/>
        <v>7</v>
      </c>
      <c r="B88" s="472"/>
      <c r="C88" s="447"/>
      <c r="D88" s="447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600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>
        <v>1900000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3" max="29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8EE0-DEEB-4A44-B144-38ED1EB7A5B6}">
  <sheetPr>
    <pageSetUpPr fitToPage="1"/>
  </sheetPr>
  <dimension ref="A1:AF93"/>
  <sheetViews>
    <sheetView view="pageBreakPreview" zoomScale="70" zoomScaleNormal="72" zoomScaleSheetLayoutView="70" workbookViewId="0">
      <selection activeCell="A90" sqref="A90:B9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601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436" t="s">
        <v>17</v>
      </c>
      <c r="L5" s="436" t="s">
        <v>18</v>
      </c>
      <c r="M5" s="436" t="s">
        <v>19</v>
      </c>
      <c r="N5" s="43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112</v>
      </c>
      <c r="D6" s="52" t="s">
        <v>475</v>
      </c>
      <c r="E6" s="53" t="s">
        <v>578</v>
      </c>
      <c r="F6" s="30" t="s">
        <v>141</v>
      </c>
      <c r="G6" s="12">
        <v>1</v>
      </c>
      <c r="H6" s="13">
        <v>24</v>
      </c>
      <c r="I6" s="31">
        <v>5000</v>
      </c>
      <c r="J6" s="14">
        <v>1251</v>
      </c>
      <c r="K6" s="15">
        <f>L6+3905+1251</f>
        <v>5156</v>
      </c>
      <c r="L6" s="15"/>
      <c r="M6" s="15">
        <f t="shared" ref="M6:M27" si="0">L6-N6</f>
        <v>0</v>
      </c>
      <c r="N6" s="15">
        <v>0</v>
      </c>
      <c r="O6" s="58" t="str">
        <f t="shared" ref="O6:O28" si="1">IF(L6=0,"0",N6/L6)</f>
        <v>0</v>
      </c>
      <c r="P6" s="39" t="str">
        <f t="shared" ref="P6:P27" si="2">IF(L6=0,"0",(24-Q6))</f>
        <v>0</v>
      </c>
      <c r="Q6" s="40">
        <f t="shared" ref="Q6:Q27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7" si="4">IF(J6=0,"0",(L6/J6))</f>
        <v>0</v>
      </c>
      <c r="AC6" s="9">
        <f t="shared" ref="AC6:AC27" si="5">IF(P6=0,"0",(P6/24))</f>
        <v>0</v>
      </c>
      <c r="AD6" s="10">
        <f t="shared" ref="AD6:AD27" si="6">AC6*AB6*(1-O6)</f>
        <v>0</v>
      </c>
      <c r="AE6" s="36">
        <f t="shared" ref="AE6:AE27" si="7">$AD$28</f>
        <v>0.11363636363636363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180000</v>
      </c>
      <c r="J7" s="14">
        <v>3822</v>
      </c>
      <c r="K7" s="15">
        <f>L7+4540+5413+4776+3810+3773+2780+4786+5910+5528+3614+7707+9828</f>
        <v>66287</v>
      </c>
      <c r="L7" s="15">
        <f>1911*2</f>
        <v>3822</v>
      </c>
      <c r="M7" s="15">
        <f t="shared" si="0"/>
        <v>3822</v>
      </c>
      <c r="N7" s="15">
        <v>0</v>
      </c>
      <c r="O7" s="58">
        <f t="shared" si="1"/>
        <v>0</v>
      </c>
      <c r="P7" s="39">
        <f t="shared" si="2"/>
        <v>8</v>
      </c>
      <c r="Q7" s="40">
        <f t="shared" si="3"/>
        <v>16</v>
      </c>
      <c r="R7" s="7"/>
      <c r="S7" s="6">
        <v>3</v>
      </c>
      <c r="T7" s="16"/>
      <c r="U7" s="16"/>
      <c r="V7" s="17">
        <v>13</v>
      </c>
      <c r="W7" s="5"/>
      <c r="X7" s="16"/>
      <c r="Y7" s="16"/>
      <c r="Z7" s="16"/>
      <c r="AA7" s="18"/>
      <c r="AB7" s="8">
        <f t="shared" si="4"/>
        <v>1</v>
      </c>
      <c r="AC7" s="9">
        <f t="shared" si="5"/>
        <v>0.33333333333333331</v>
      </c>
      <c r="AD7" s="10">
        <f t="shared" si="6"/>
        <v>0.33333333333333331</v>
      </c>
      <c r="AE7" s="36">
        <f t="shared" si="7"/>
        <v>0.11363636363636363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180000</v>
      </c>
      <c r="J8" s="14">
        <v>3504</v>
      </c>
      <c r="K8" s="15">
        <f>L8+8132+2262+5886+10522+11854+11762+11766+11818+11592+5898+11758+11820+11712+11856+11816+5182+6610+11708+11840+11830+11734+3504</f>
        <v>212862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0.11363636363636363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180000</v>
      </c>
      <c r="J9" s="14">
        <v>5152</v>
      </c>
      <c r="K9" s="15">
        <f>L9+10280+10788+10818+10814+11584+6366+11696+11770+11638+11800+8836+5222+10904+11636+11670+11786+11714+11754</f>
        <v>196228</v>
      </c>
      <c r="L9" s="15">
        <f>2576*2</f>
        <v>5152</v>
      </c>
      <c r="M9" s="15">
        <f t="shared" si="0"/>
        <v>5152</v>
      </c>
      <c r="N9" s="15">
        <v>0</v>
      </c>
      <c r="O9" s="58">
        <f t="shared" si="1"/>
        <v>0</v>
      </c>
      <c r="P9" s="39">
        <f t="shared" si="2"/>
        <v>11</v>
      </c>
      <c r="Q9" s="40">
        <f t="shared" si="3"/>
        <v>13</v>
      </c>
      <c r="R9" s="7"/>
      <c r="S9" s="6"/>
      <c r="T9" s="16"/>
      <c r="U9" s="16"/>
      <c r="V9" s="17">
        <v>13</v>
      </c>
      <c r="W9" s="5"/>
      <c r="X9" s="16"/>
      <c r="Y9" s="16"/>
      <c r="Z9" s="16"/>
      <c r="AA9" s="18"/>
      <c r="AB9" s="8">
        <f t="shared" si="4"/>
        <v>1</v>
      </c>
      <c r="AC9" s="9">
        <f t="shared" si="5"/>
        <v>0.45833333333333331</v>
      </c>
      <c r="AD9" s="10">
        <f t="shared" si="6"/>
        <v>0.45833333333333331</v>
      </c>
      <c r="AE9" s="36">
        <f t="shared" si="7"/>
        <v>0.11363636363636363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112</v>
      </c>
      <c r="D10" s="52" t="s">
        <v>434</v>
      </c>
      <c r="E10" s="53" t="s">
        <v>572</v>
      </c>
      <c r="F10" s="30" t="s">
        <v>140</v>
      </c>
      <c r="G10" s="33">
        <v>2</v>
      </c>
      <c r="H10" s="35">
        <v>24</v>
      </c>
      <c r="I10" s="7">
        <v>20000</v>
      </c>
      <c r="J10" s="14">
        <v>9012</v>
      </c>
      <c r="K10" s="15">
        <f>L10+11700+9012</f>
        <v>20712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/>
      <c r="W10" s="5">
        <v>24</v>
      </c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6"/>
        <v>0</v>
      </c>
      <c r="AE10" s="36">
        <f t="shared" si="7"/>
        <v>0.11363636363636363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340</v>
      </c>
      <c r="E11" s="53" t="s">
        <v>573</v>
      </c>
      <c r="F11" s="30" t="s">
        <v>128</v>
      </c>
      <c r="G11" s="33">
        <v>1</v>
      </c>
      <c r="H11" s="35">
        <v>24</v>
      </c>
      <c r="I11" s="7">
        <v>5000</v>
      </c>
      <c r="J11" s="14">
        <v>4172</v>
      </c>
      <c r="K11" s="15">
        <f>L11+5381+4172</f>
        <v>9553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si="6"/>
        <v>0</v>
      </c>
      <c r="AE11" s="36">
        <f t="shared" si="7"/>
        <v>0.11363636363636363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115</v>
      </c>
      <c r="E12" s="53" t="s">
        <v>579</v>
      </c>
      <c r="F12" s="30" t="s">
        <v>140</v>
      </c>
      <c r="G12" s="12">
        <v>1</v>
      </c>
      <c r="H12" s="13">
        <v>22</v>
      </c>
      <c r="I12" s="31">
        <v>5000</v>
      </c>
      <c r="J12" s="5">
        <v>989</v>
      </c>
      <c r="K12" s="15">
        <f>L12+2328+401</f>
        <v>3718</v>
      </c>
      <c r="L12" s="15">
        <v>989</v>
      </c>
      <c r="M12" s="15">
        <f t="shared" si="0"/>
        <v>989</v>
      </c>
      <c r="N12" s="15">
        <v>0</v>
      </c>
      <c r="O12" s="58">
        <f t="shared" si="1"/>
        <v>0</v>
      </c>
      <c r="P12" s="39">
        <f t="shared" si="2"/>
        <v>6</v>
      </c>
      <c r="Q12" s="40">
        <f t="shared" si="3"/>
        <v>18</v>
      </c>
      <c r="R12" s="7"/>
      <c r="S12" s="6">
        <v>5</v>
      </c>
      <c r="T12" s="16"/>
      <c r="U12" s="16"/>
      <c r="V12" s="17">
        <v>13</v>
      </c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0.25</v>
      </c>
      <c r="AD12" s="10">
        <f t="shared" si="6"/>
        <v>0.25</v>
      </c>
      <c r="AE12" s="36">
        <f t="shared" si="7"/>
        <v>0.11363636363636363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322</v>
      </c>
      <c r="E13" s="53" t="s">
        <v>323</v>
      </c>
      <c r="F13" s="30" t="s">
        <v>324</v>
      </c>
      <c r="G13" s="33">
        <v>1</v>
      </c>
      <c r="H13" s="35">
        <v>22</v>
      </c>
      <c r="I13" s="7">
        <v>6000</v>
      </c>
      <c r="J13" s="14">
        <v>5377</v>
      </c>
      <c r="K13" s="15">
        <f>L13+5323+5377</f>
        <v>10700</v>
      </c>
      <c r="L13" s="15"/>
      <c r="M13" s="15">
        <f t="shared" si="0"/>
        <v>0</v>
      </c>
      <c r="N13" s="15">
        <v>0</v>
      </c>
      <c r="O13" s="58" t="str">
        <f t="shared" si="1"/>
        <v>0</v>
      </c>
      <c r="P13" s="39" t="str">
        <f t="shared" si="2"/>
        <v>0</v>
      </c>
      <c r="Q13" s="40">
        <f t="shared" si="3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4"/>
        <v>0</v>
      </c>
      <c r="AC13" s="9">
        <f t="shared" si="5"/>
        <v>0</v>
      </c>
      <c r="AD13" s="10">
        <f t="shared" si="6"/>
        <v>0</v>
      </c>
      <c r="AE13" s="36">
        <f t="shared" si="7"/>
        <v>0.11363636363636363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232</v>
      </c>
      <c r="D14" s="52" t="s">
        <v>477</v>
      </c>
      <c r="E14" s="53" t="s">
        <v>469</v>
      </c>
      <c r="F14" s="30" t="s">
        <v>171</v>
      </c>
      <c r="G14" s="33">
        <v>1</v>
      </c>
      <c r="H14" s="35">
        <v>50</v>
      </c>
      <c r="I14" s="7">
        <v>700</v>
      </c>
      <c r="J14" s="5">
        <v>750</v>
      </c>
      <c r="K14" s="15">
        <f>L14+750</f>
        <v>750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0.11363636363636363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52000</v>
      </c>
      <c r="J15" s="14">
        <v>26300</v>
      </c>
      <c r="K15" s="15">
        <f>L15+17004+25452+26300</f>
        <v>68756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0.11363636363636363</v>
      </c>
      <c r="AF15" s="84">
        <f t="shared" si="8"/>
        <v>10</v>
      </c>
    </row>
    <row r="16" spans="1:32" ht="27" customHeight="1">
      <c r="A16" s="112">
        <v>11</v>
      </c>
      <c r="B16" s="11" t="s">
        <v>57</v>
      </c>
      <c r="C16" s="34" t="s">
        <v>112</v>
      </c>
      <c r="D16" s="52" t="s">
        <v>115</v>
      </c>
      <c r="E16" s="53" t="s">
        <v>260</v>
      </c>
      <c r="F16" s="30" t="s">
        <v>128</v>
      </c>
      <c r="G16" s="12">
        <v>1</v>
      </c>
      <c r="H16" s="13">
        <v>24</v>
      </c>
      <c r="I16" s="7">
        <v>22000</v>
      </c>
      <c r="J16" s="14">
        <v>1051</v>
      </c>
      <c r="K16" s="15">
        <f>L16+3583+5369+5344+5361</f>
        <v>20708</v>
      </c>
      <c r="L16" s="15">
        <f>1051</f>
        <v>1051</v>
      </c>
      <c r="M16" s="15">
        <f t="shared" si="0"/>
        <v>1051</v>
      </c>
      <c r="N16" s="15">
        <v>0</v>
      </c>
      <c r="O16" s="58">
        <f t="shared" si="1"/>
        <v>0</v>
      </c>
      <c r="P16" s="39">
        <f t="shared" si="2"/>
        <v>5</v>
      </c>
      <c r="Q16" s="40">
        <f t="shared" si="3"/>
        <v>19</v>
      </c>
      <c r="R16" s="7"/>
      <c r="S16" s="6"/>
      <c r="T16" s="16"/>
      <c r="U16" s="16"/>
      <c r="V16" s="17"/>
      <c r="W16" s="5">
        <v>19</v>
      </c>
      <c r="X16" s="16"/>
      <c r="Y16" s="16"/>
      <c r="Z16" s="16"/>
      <c r="AA16" s="18"/>
      <c r="AB16" s="8">
        <f t="shared" si="4"/>
        <v>1</v>
      </c>
      <c r="AC16" s="9">
        <f t="shared" si="5"/>
        <v>0.20833333333333334</v>
      </c>
      <c r="AD16" s="10">
        <f t="shared" si="6"/>
        <v>0.20833333333333334</v>
      </c>
      <c r="AE16" s="36">
        <f t="shared" si="7"/>
        <v>0.11363636363636363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138</v>
      </c>
      <c r="D17" s="52"/>
      <c r="E17" s="53" t="s">
        <v>523</v>
      </c>
      <c r="F17" s="30" t="s">
        <v>530</v>
      </c>
      <c r="G17" s="12">
        <v>5</v>
      </c>
      <c r="H17" s="13">
        <v>24</v>
      </c>
      <c r="I17" s="7">
        <v>200000</v>
      </c>
      <c r="J17" s="14">
        <v>18620</v>
      </c>
      <c r="K17" s="15">
        <f>L17+26370+39325+19755+18405+40885</f>
        <v>163360</v>
      </c>
      <c r="L17" s="15">
        <f>3724*5</f>
        <v>18620</v>
      </c>
      <c r="M17" s="15">
        <f t="shared" si="0"/>
        <v>18620</v>
      </c>
      <c r="N17" s="15">
        <v>0</v>
      </c>
      <c r="O17" s="58">
        <f t="shared" si="1"/>
        <v>0</v>
      </c>
      <c r="P17" s="39">
        <f t="shared" si="2"/>
        <v>11</v>
      </c>
      <c r="Q17" s="40">
        <f t="shared" si="3"/>
        <v>13</v>
      </c>
      <c r="R17" s="7"/>
      <c r="S17" s="6"/>
      <c r="T17" s="16"/>
      <c r="U17" s="16"/>
      <c r="V17" s="17">
        <v>13</v>
      </c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0.45833333333333331</v>
      </c>
      <c r="AD17" s="10">
        <f t="shared" si="6"/>
        <v>0.45833333333333331</v>
      </c>
      <c r="AE17" s="36">
        <f t="shared" si="7"/>
        <v>0.11363636363636363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434</v>
      </c>
      <c r="E18" s="53" t="s">
        <v>580</v>
      </c>
      <c r="F18" s="30" t="s">
        <v>140</v>
      </c>
      <c r="G18" s="33">
        <v>2</v>
      </c>
      <c r="H18" s="35">
        <v>24</v>
      </c>
      <c r="I18" s="7">
        <v>20000</v>
      </c>
      <c r="J18" s="14">
        <v>12520</v>
      </c>
      <c r="K18" s="15">
        <f>L18+7826+12520</f>
        <v>20346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0.11363636363636363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112</v>
      </c>
      <c r="D19" s="52" t="s">
        <v>137</v>
      </c>
      <c r="E19" s="53" t="s">
        <v>586</v>
      </c>
      <c r="F19" s="30" t="s">
        <v>130</v>
      </c>
      <c r="G19" s="33">
        <v>1</v>
      </c>
      <c r="H19" s="35">
        <v>24</v>
      </c>
      <c r="I19" s="7">
        <v>14000</v>
      </c>
      <c r="J19" s="14">
        <v>2414</v>
      </c>
      <c r="K19" s="15">
        <f>L19+4841</f>
        <v>7255</v>
      </c>
      <c r="L19" s="15">
        <v>2414</v>
      </c>
      <c r="M19" s="15">
        <f t="shared" si="0"/>
        <v>2414</v>
      </c>
      <c r="N19" s="15">
        <v>0</v>
      </c>
      <c r="O19" s="58">
        <f t="shared" si="1"/>
        <v>0</v>
      </c>
      <c r="P19" s="39">
        <f t="shared" si="2"/>
        <v>11</v>
      </c>
      <c r="Q19" s="40">
        <f t="shared" si="3"/>
        <v>13</v>
      </c>
      <c r="R19" s="7"/>
      <c r="S19" s="6"/>
      <c r="T19" s="16"/>
      <c r="U19" s="16"/>
      <c r="V19" s="17">
        <v>13</v>
      </c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0.45833333333333331</v>
      </c>
      <c r="AD19" s="10">
        <f t="shared" si="6"/>
        <v>0.45833333333333331</v>
      </c>
      <c r="AE19" s="36">
        <f t="shared" si="7"/>
        <v>0.11363636363636363</v>
      </c>
      <c r="AF19" s="84">
        <f t="shared" si="8"/>
        <v>14</v>
      </c>
    </row>
    <row r="20" spans="1:32" ht="27" customHeight="1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206</v>
      </c>
      <c r="G20" s="12">
        <v>1</v>
      </c>
      <c r="H20" s="13">
        <v>24</v>
      </c>
      <c r="I20" s="7">
        <v>230000</v>
      </c>
      <c r="J20" s="14">
        <v>2972</v>
      </c>
      <c r="K20" s="15">
        <f>L20+7008+11154+9077+8768+10676+10588+2521+7242+10236+10216+10614+10620+10632+10760+10206+10892+10136+10692+10896+9992+10630+10894+7459+6981+3140+4342+308+5171+4481+8214+10962+10104+10526</f>
        <v>289110</v>
      </c>
      <c r="L20" s="15">
        <f>1486*2</f>
        <v>2972</v>
      </c>
      <c r="M20" s="15">
        <f t="shared" si="0"/>
        <v>2972</v>
      </c>
      <c r="N20" s="15">
        <v>0</v>
      </c>
      <c r="O20" s="58">
        <f t="shared" si="1"/>
        <v>0</v>
      </c>
      <c r="P20" s="39">
        <f t="shared" si="2"/>
        <v>8</v>
      </c>
      <c r="Q20" s="40">
        <f t="shared" si="3"/>
        <v>16</v>
      </c>
      <c r="R20" s="7"/>
      <c r="S20" s="6">
        <v>3</v>
      </c>
      <c r="T20" s="16"/>
      <c r="U20" s="16"/>
      <c r="V20" s="17">
        <v>13</v>
      </c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0.33333333333333331</v>
      </c>
      <c r="AD20" s="10">
        <f t="shared" si="6"/>
        <v>0.33333333333333331</v>
      </c>
      <c r="AE20" s="36">
        <f t="shared" si="7"/>
        <v>0.11363636363636363</v>
      </c>
      <c r="AF20" s="84">
        <f t="shared" si="8"/>
        <v>15</v>
      </c>
    </row>
    <row r="21" spans="1:32" ht="26.25" customHeight="1">
      <c r="A21" s="96">
        <v>16</v>
      </c>
      <c r="B21" s="11" t="s">
        <v>57</v>
      </c>
      <c r="C21" s="11" t="s">
        <v>113</v>
      </c>
      <c r="D21" s="52"/>
      <c r="E21" s="53" t="s">
        <v>134</v>
      </c>
      <c r="F21" s="12" t="s">
        <v>114</v>
      </c>
      <c r="G21" s="12">
        <v>4</v>
      </c>
      <c r="H21" s="35">
        <v>20</v>
      </c>
      <c r="I21" s="7">
        <v>1000000</v>
      </c>
      <c r="J21" s="14">
        <v>58848</v>
      </c>
      <c r="K21" s="15">
        <f>L21+50740+61508+62116+62068+58848</f>
        <v>295280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0.11363636363636363</v>
      </c>
      <c r="AF21" s="84">
        <f t="shared" si="8"/>
        <v>16</v>
      </c>
    </row>
    <row r="22" spans="1:32" ht="18.75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/>
      <c r="W22" s="5">
        <v>24</v>
      </c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0.11363636363636363</v>
      </c>
      <c r="AF22" s="84">
        <f t="shared" si="8"/>
        <v>31</v>
      </c>
    </row>
    <row r="23" spans="1:32" ht="18.75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0.11363636363636363</v>
      </c>
      <c r="AF23" s="84">
        <f t="shared" si="8"/>
        <v>32</v>
      </c>
    </row>
    <row r="24" spans="1:32" ht="18.75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3244</v>
      </c>
      <c r="K24" s="15">
        <f>L24+4387+7770+5806+7905+7479+7369+7360+2397+6904+7208+7013+6976+6992+2652+6495+7026+7051+7084+4297+6519+7042+3244</f>
        <v>136976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20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0.11363636363636363</v>
      </c>
      <c r="AF24" s="84">
        <f t="shared" si="8"/>
        <v>33</v>
      </c>
    </row>
    <row r="25" spans="1:32" ht="28.5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0.11363636363636363</v>
      </c>
      <c r="AF25" s="84">
        <f t="shared" si="8"/>
        <v>34</v>
      </c>
    </row>
    <row r="26" spans="1:32" ht="28.5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0.11363636363636363</v>
      </c>
      <c r="AF26" s="84">
        <f t="shared" si="8"/>
        <v>35</v>
      </c>
    </row>
    <row r="27" spans="1:32" ht="19.5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1300000</v>
      </c>
      <c r="J27" s="14">
        <v>199470</v>
      </c>
      <c r="K27" s="15">
        <f>L27+356070+486150+492600+465600+199470</f>
        <v>1999890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15</v>
      </c>
      <c r="R27" s="7"/>
      <c r="S27" s="6"/>
      <c r="T27" s="16"/>
      <c r="U27" s="16"/>
      <c r="V27" s="120"/>
      <c r="W27" s="5">
        <v>15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0.11363636363636363</v>
      </c>
      <c r="AF27" s="84">
        <f t="shared" si="8"/>
        <v>36</v>
      </c>
    </row>
    <row r="28" spans="1:32" ht="19.5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9">SUM(I6:I27)</f>
        <v>4039700</v>
      </c>
      <c r="J28" s="19">
        <f t="shared" si="9"/>
        <v>381056</v>
      </c>
      <c r="K28" s="20">
        <f t="shared" si="9"/>
        <v>4067291</v>
      </c>
      <c r="L28" s="21">
        <f t="shared" si="9"/>
        <v>35020</v>
      </c>
      <c r="M28" s="20">
        <f t="shared" si="9"/>
        <v>35020</v>
      </c>
      <c r="N28" s="21">
        <f t="shared" si="9"/>
        <v>0</v>
      </c>
      <c r="O28" s="41">
        <f t="shared" si="1"/>
        <v>0</v>
      </c>
      <c r="P28" s="42">
        <f t="shared" ref="P28:AA28" si="10">SUM(P6:P27)</f>
        <v>60</v>
      </c>
      <c r="Q28" s="43">
        <f t="shared" si="10"/>
        <v>459</v>
      </c>
      <c r="R28" s="23">
        <f t="shared" si="10"/>
        <v>0</v>
      </c>
      <c r="S28" s="24">
        <f t="shared" si="10"/>
        <v>35</v>
      </c>
      <c r="T28" s="24">
        <f t="shared" si="10"/>
        <v>0</v>
      </c>
      <c r="U28" s="24">
        <f t="shared" si="10"/>
        <v>0</v>
      </c>
      <c r="V28" s="25">
        <f t="shared" si="10"/>
        <v>102</v>
      </c>
      <c r="W28" s="26">
        <f t="shared" si="10"/>
        <v>322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0</v>
      </c>
      <c r="AB28" s="28">
        <f>AVERAGE(AB6:AB27)</f>
        <v>0.35</v>
      </c>
      <c r="AC28" s="4">
        <f>AVERAGE(AC6:AC27)</f>
        <v>0.11363636363636363</v>
      </c>
      <c r="AD28" s="4">
        <f>AVERAGE(AD6:AD27)</f>
        <v>0.11363636363636363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602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604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437" t="s">
        <v>46</v>
      </c>
      <c r="D57" s="437" t="s">
        <v>47</v>
      </c>
      <c r="E57" s="437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437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43" t="s">
        <v>138</v>
      </c>
      <c r="B58" s="533"/>
      <c r="C58" s="440" t="s">
        <v>217</v>
      </c>
      <c r="D58" s="440" t="s">
        <v>142</v>
      </c>
      <c r="E58" s="440" t="s">
        <v>241</v>
      </c>
      <c r="F58" s="530" t="s">
        <v>603</v>
      </c>
      <c r="G58" s="531"/>
      <c r="H58" s="531"/>
      <c r="I58" s="531"/>
      <c r="J58" s="531"/>
      <c r="K58" s="531"/>
      <c r="L58" s="531"/>
      <c r="M58" s="532"/>
      <c r="N58" s="439" t="s">
        <v>138</v>
      </c>
      <c r="O58" s="445" t="s">
        <v>156</v>
      </c>
      <c r="P58" s="544" t="s">
        <v>115</v>
      </c>
      <c r="Q58" s="545"/>
      <c r="R58" s="544" t="s">
        <v>253</v>
      </c>
      <c r="S58" s="546"/>
      <c r="T58" s="546"/>
      <c r="U58" s="545"/>
      <c r="V58" s="517" t="s">
        <v>120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43" t="s">
        <v>112</v>
      </c>
      <c r="B59" s="533"/>
      <c r="C59" s="440" t="s">
        <v>287</v>
      </c>
      <c r="D59" s="440" t="s">
        <v>115</v>
      </c>
      <c r="E59" s="440" t="s">
        <v>579</v>
      </c>
      <c r="F59" s="530" t="s">
        <v>120</v>
      </c>
      <c r="G59" s="531"/>
      <c r="H59" s="531"/>
      <c r="I59" s="531"/>
      <c r="J59" s="531"/>
      <c r="K59" s="531"/>
      <c r="L59" s="531"/>
      <c r="M59" s="532"/>
      <c r="N59" s="439" t="s">
        <v>112</v>
      </c>
      <c r="O59" s="445" t="s">
        <v>195</v>
      </c>
      <c r="P59" s="544" t="s">
        <v>115</v>
      </c>
      <c r="Q59" s="545"/>
      <c r="R59" s="544" t="s">
        <v>605</v>
      </c>
      <c r="S59" s="546"/>
      <c r="T59" s="546"/>
      <c r="U59" s="545"/>
      <c r="V59" s="517" t="s">
        <v>124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112</v>
      </c>
      <c r="B60" s="533"/>
      <c r="C60" s="449" t="s">
        <v>346</v>
      </c>
      <c r="D60" s="449" t="s">
        <v>115</v>
      </c>
      <c r="E60" s="449" t="s">
        <v>596</v>
      </c>
      <c r="F60" s="530" t="s">
        <v>120</v>
      </c>
      <c r="G60" s="531"/>
      <c r="H60" s="531"/>
      <c r="I60" s="531"/>
      <c r="J60" s="531"/>
      <c r="K60" s="531"/>
      <c r="L60" s="531"/>
      <c r="M60" s="532"/>
      <c r="N60" s="439" t="s">
        <v>138</v>
      </c>
      <c r="O60" s="445" t="s">
        <v>607</v>
      </c>
      <c r="P60" s="544" t="s">
        <v>608</v>
      </c>
      <c r="Q60" s="545"/>
      <c r="R60" s="544" t="s">
        <v>606</v>
      </c>
      <c r="S60" s="546"/>
      <c r="T60" s="546"/>
      <c r="U60" s="545"/>
      <c r="V60" s="517" t="s">
        <v>124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/>
      <c r="B61" s="533"/>
      <c r="C61" s="440"/>
      <c r="D61" s="440"/>
      <c r="E61" s="440"/>
      <c r="F61" s="530"/>
      <c r="G61" s="531"/>
      <c r="H61" s="531"/>
      <c r="I61" s="531"/>
      <c r="J61" s="531"/>
      <c r="K61" s="531"/>
      <c r="L61" s="531"/>
      <c r="M61" s="532"/>
      <c r="N61" s="439"/>
      <c r="O61" s="445"/>
      <c r="P61" s="544"/>
      <c r="Q61" s="545"/>
      <c r="R61" s="544"/>
      <c r="S61" s="546"/>
      <c r="T61" s="546"/>
      <c r="U61" s="545"/>
      <c r="V61" s="517"/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/>
      <c r="B62" s="533"/>
      <c r="C62" s="440"/>
      <c r="D62" s="440"/>
      <c r="E62" s="440"/>
      <c r="F62" s="530"/>
      <c r="G62" s="531"/>
      <c r="H62" s="531"/>
      <c r="I62" s="531"/>
      <c r="J62" s="531"/>
      <c r="K62" s="531"/>
      <c r="L62" s="531"/>
      <c r="M62" s="532"/>
      <c r="N62" s="439"/>
      <c r="O62" s="445"/>
      <c r="P62" s="544"/>
      <c r="Q62" s="545"/>
      <c r="R62" s="544"/>
      <c r="S62" s="546"/>
      <c r="T62" s="546"/>
      <c r="U62" s="545"/>
      <c r="V62" s="517"/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/>
      <c r="B63" s="533"/>
      <c r="C63" s="440"/>
      <c r="D63" s="440"/>
      <c r="E63" s="440"/>
      <c r="F63" s="530"/>
      <c r="G63" s="531"/>
      <c r="H63" s="531"/>
      <c r="I63" s="531"/>
      <c r="J63" s="531"/>
      <c r="K63" s="531"/>
      <c r="L63" s="531"/>
      <c r="M63" s="532"/>
      <c r="N63" s="439"/>
      <c r="O63" s="445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440"/>
      <c r="D64" s="440"/>
      <c r="E64" s="440"/>
      <c r="F64" s="530"/>
      <c r="G64" s="531"/>
      <c r="H64" s="531"/>
      <c r="I64" s="531"/>
      <c r="J64" s="531"/>
      <c r="K64" s="531"/>
      <c r="L64" s="531"/>
      <c r="M64" s="532"/>
      <c r="N64" s="439"/>
      <c r="O64" s="445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438"/>
      <c r="D65" s="438"/>
      <c r="E65" s="440"/>
      <c r="F65" s="530"/>
      <c r="G65" s="531"/>
      <c r="H65" s="531"/>
      <c r="I65" s="531"/>
      <c r="J65" s="531"/>
      <c r="K65" s="531"/>
      <c r="L65" s="531"/>
      <c r="M65" s="532"/>
      <c r="N65" s="439"/>
      <c r="O65" s="445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438"/>
      <c r="D66" s="438"/>
      <c r="E66" s="440"/>
      <c r="F66" s="530"/>
      <c r="G66" s="531"/>
      <c r="H66" s="531"/>
      <c r="I66" s="531"/>
      <c r="J66" s="531"/>
      <c r="K66" s="531"/>
      <c r="L66" s="531"/>
      <c r="M66" s="532"/>
      <c r="N66" s="439"/>
      <c r="O66" s="445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441"/>
      <c r="D67" s="442"/>
      <c r="E67" s="441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609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443" t="s">
        <v>2</v>
      </c>
      <c r="D69" s="443" t="s">
        <v>37</v>
      </c>
      <c r="E69" s="443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443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 t="s">
        <v>116</v>
      </c>
      <c r="D70" s="447"/>
      <c r="E70" s="444" t="s">
        <v>611</v>
      </c>
      <c r="F70" s="514" t="s">
        <v>610</v>
      </c>
      <c r="G70" s="504"/>
      <c r="H70" s="504"/>
      <c r="I70" s="504"/>
      <c r="J70" s="504"/>
      <c r="K70" s="504" t="s">
        <v>612</v>
      </c>
      <c r="L70" s="504"/>
      <c r="M70" s="51" t="s">
        <v>216</v>
      </c>
      <c r="N70" s="515" t="s">
        <v>307</v>
      </c>
      <c r="O70" s="515"/>
      <c r="P70" s="516">
        <v>50</v>
      </c>
      <c r="Q70" s="516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/>
      <c r="D71" s="447"/>
      <c r="E71" s="444"/>
      <c r="F71" s="518"/>
      <c r="G71" s="519"/>
      <c r="H71" s="519"/>
      <c r="I71" s="519"/>
      <c r="J71" s="520"/>
      <c r="K71" s="504"/>
      <c r="L71" s="504"/>
      <c r="M71" s="51"/>
      <c r="N71" s="515"/>
      <c r="O71" s="515"/>
      <c r="P71" s="516"/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/>
      <c r="D72" s="447"/>
      <c r="E72" s="444"/>
      <c r="F72" s="518"/>
      <c r="G72" s="519"/>
      <c r="H72" s="519"/>
      <c r="I72" s="519"/>
      <c r="J72" s="520"/>
      <c r="K72" s="504"/>
      <c r="L72" s="504"/>
      <c r="M72" s="51"/>
      <c r="N72" s="515"/>
      <c r="O72" s="515"/>
      <c r="P72" s="516"/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/>
      <c r="D73" s="447"/>
      <c r="E73" s="444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/>
      <c r="D74" s="447"/>
      <c r="E74" s="444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/>
      <c r="D75" s="447"/>
      <c r="E75" s="444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/>
      <c r="D76" s="447"/>
      <c r="E76" s="444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447"/>
      <c r="E77" s="444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447"/>
      <c r="E78" s="444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447"/>
      <c r="E79" s="444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613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446" t="s">
        <v>2</v>
      </c>
      <c r="D81" s="446" t="s">
        <v>37</v>
      </c>
      <c r="E81" s="446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448"/>
      <c r="D82" s="448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447"/>
      <c r="D83" s="447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1">A83+1</f>
        <v>3</v>
      </c>
      <c r="B84" s="472"/>
      <c r="C84" s="447"/>
      <c r="D84" s="447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1"/>
        <v>4</v>
      </c>
      <c r="B85" s="472"/>
      <c r="C85" s="447"/>
      <c r="D85" s="447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1"/>
        <v>5</v>
      </c>
      <c r="B86" s="472"/>
      <c r="C86" s="447"/>
      <c r="D86" s="447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1"/>
        <v>6</v>
      </c>
      <c r="B87" s="472"/>
      <c r="C87" s="447"/>
      <c r="D87" s="447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1"/>
        <v>7</v>
      </c>
      <c r="B88" s="472"/>
      <c r="C88" s="447"/>
      <c r="D88" s="447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614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>
        <v>1900000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3" max="29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A0E00-5E9F-447E-BF59-92F1031AC6EF}">
  <sheetPr>
    <pageSetUpPr fitToPage="1"/>
  </sheetPr>
  <dimension ref="A1:AF93"/>
  <sheetViews>
    <sheetView tabSelected="1" view="pageBreakPreview" zoomScale="70" zoomScaleNormal="72" zoomScaleSheetLayoutView="70" workbookViewId="0">
      <selection activeCell="T18" sqref="T1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615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450" t="s">
        <v>17</v>
      </c>
      <c r="L5" s="450" t="s">
        <v>18</v>
      </c>
      <c r="M5" s="450" t="s">
        <v>19</v>
      </c>
      <c r="N5" s="450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112</v>
      </c>
      <c r="D6" s="52" t="s">
        <v>475</v>
      </c>
      <c r="E6" s="53" t="s">
        <v>578</v>
      </c>
      <c r="F6" s="30" t="s">
        <v>141</v>
      </c>
      <c r="G6" s="12">
        <v>1</v>
      </c>
      <c r="H6" s="13">
        <v>24</v>
      </c>
      <c r="I6" s="31">
        <v>5000</v>
      </c>
      <c r="J6" s="14">
        <v>1251</v>
      </c>
      <c r="K6" s="15">
        <f>L6+3905+1251</f>
        <v>5156</v>
      </c>
      <c r="L6" s="15"/>
      <c r="M6" s="15">
        <f t="shared" ref="M6:M27" si="0">L6-N6</f>
        <v>0</v>
      </c>
      <c r="N6" s="15">
        <v>0</v>
      </c>
      <c r="O6" s="58" t="str">
        <f t="shared" ref="O6:O28" si="1">IF(L6=0,"0",N6/L6)</f>
        <v>0</v>
      </c>
      <c r="P6" s="39" t="str">
        <f t="shared" ref="P6:P27" si="2">IF(L6=0,"0",(24-Q6))</f>
        <v>0</v>
      </c>
      <c r="Q6" s="40">
        <f t="shared" ref="Q6:Q27" si="3">SUM(R6:AA6)</f>
        <v>24</v>
      </c>
      <c r="R6" s="7"/>
      <c r="S6" s="6"/>
      <c r="T6" s="16"/>
      <c r="U6" s="16"/>
      <c r="V6" s="17"/>
      <c r="W6" s="5"/>
      <c r="X6" s="16"/>
      <c r="Y6" s="16"/>
      <c r="Z6" s="16"/>
      <c r="AA6" s="18">
        <v>24</v>
      </c>
      <c r="AB6" s="8">
        <f t="shared" ref="AB6:AB27" si="4">IF(J6=0,"0",(L6/J6))</f>
        <v>0</v>
      </c>
      <c r="AC6" s="9">
        <f t="shared" ref="AC6:AC27" si="5">IF(P6=0,"0",(P6/24))</f>
        <v>0</v>
      </c>
      <c r="AD6" s="10">
        <f t="shared" ref="AD6:AD27" si="6">AC6*AB6*(1-O6)</f>
        <v>0</v>
      </c>
      <c r="AE6" s="36">
        <f t="shared" ref="AE6:AE27" si="7">$AD$28</f>
        <v>0.40151515151515144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180000</v>
      </c>
      <c r="J7" s="14">
        <v>6888</v>
      </c>
      <c r="K7" s="15">
        <f>L7+4540+5413+4776+3810+3773+2780+4786+5910+5528+3614+7707+9828+3822</f>
        <v>73175</v>
      </c>
      <c r="L7" s="15">
        <f>1500+1063*2+1631*2</f>
        <v>6888</v>
      </c>
      <c r="M7" s="15">
        <f t="shared" si="0"/>
        <v>6888</v>
      </c>
      <c r="N7" s="15">
        <v>0</v>
      </c>
      <c r="O7" s="58">
        <f t="shared" si="1"/>
        <v>0</v>
      </c>
      <c r="P7" s="39">
        <f t="shared" si="2"/>
        <v>18</v>
      </c>
      <c r="Q7" s="40">
        <f t="shared" si="3"/>
        <v>6</v>
      </c>
      <c r="R7" s="7"/>
      <c r="S7" s="6">
        <v>6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0.75</v>
      </c>
      <c r="AD7" s="10">
        <f t="shared" si="6"/>
        <v>0.75</v>
      </c>
      <c r="AE7" s="36">
        <f t="shared" si="7"/>
        <v>0.40151515151515144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180000</v>
      </c>
      <c r="J8" s="14">
        <v>10564</v>
      </c>
      <c r="K8" s="15">
        <f>L8+8132+2262+5886+10522+11854+11762+11766+11818+11592+5898+11758+11820+11712+11856+11816+5182+6610+11708+11840+11830+11734+3504</f>
        <v>223426</v>
      </c>
      <c r="L8" s="15">
        <f>2905*2+2377*2</f>
        <v>10564</v>
      </c>
      <c r="M8" s="15">
        <f t="shared" si="0"/>
        <v>10564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0.40151515151515144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180000</v>
      </c>
      <c r="J9" s="14">
        <v>10934</v>
      </c>
      <c r="K9" s="15">
        <f>L9+10280+10788+10818+10814+11584+6366+11696+11770+11638+11800+8836+5222+10904+11636+11670+11786+11714+11754+5152</f>
        <v>207162</v>
      </c>
      <c r="L9" s="15">
        <f>2924*2+2543*2</f>
        <v>10934</v>
      </c>
      <c r="M9" s="15">
        <f t="shared" si="0"/>
        <v>10934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0.40151515151515144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112</v>
      </c>
      <c r="D10" s="52" t="s">
        <v>434</v>
      </c>
      <c r="E10" s="53" t="s">
        <v>572</v>
      </c>
      <c r="F10" s="30" t="s">
        <v>140</v>
      </c>
      <c r="G10" s="33">
        <v>2</v>
      </c>
      <c r="H10" s="35">
        <v>24</v>
      </c>
      <c r="I10" s="7">
        <v>20000</v>
      </c>
      <c r="J10" s="14">
        <v>9012</v>
      </c>
      <c r="K10" s="15">
        <f>L10+11700+9012</f>
        <v>20712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/>
      <c r="W10" s="5">
        <v>24</v>
      </c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6"/>
        <v>0</v>
      </c>
      <c r="AE10" s="36">
        <f t="shared" si="7"/>
        <v>0.40151515151515144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340</v>
      </c>
      <c r="E11" s="53" t="s">
        <v>573</v>
      </c>
      <c r="F11" s="30" t="s">
        <v>128</v>
      </c>
      <c r="G11" s="33">
        <v>1</v>
      </c>
      <c r="H11" s="35">
        <v>24</v>
      </c>
      <c r="I11" s="7">
        <v>5000</v>
      </c>
      <c r="J11" s="14">
        <v>4172</v>
      </c>
      <c r="K11" s="15">
        <f>L11+5381+4172</f>
        <v>9553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si="6"/>
        <v>0</v>
      </c>
      <c r="AE11" s="36">
        <f t="shared" si="7"/>
        <v>0.40151515151515144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112</v>
      </c>
      <c r="D12" s="52" t="s">
        <v>115</v>
      </c>
      <c r="E12" s="53" t="s">
        <v>579</v>
      </c>
      <c r="F12" s="30" t="s">
        <v>140</v>
      </c>
      <c r="G12" s="12">
        <v>1</v>
      </c>
      <c r="H12" s="13">
        <v>22</v>
      </c>
      <c r="I12" s="31">
        <v>5000</v>
      </c>
      <c r="J12" s="5">
        <v>1829</v>
      </c>
      <c r="K12" s="15">
        <f>L12+2328+401+989</f>
        <v>5547</v>
      </c>
      <c r="L12" s="15">
        <f>1829</f>
        <v>1829</v>
      </c>
      <c r="M12" s="15">
        <f t="shared" si="0"/>
        <v>1829</v>
      </c>
      <c r="N12" s="15">
        <v>0</v>
      </c>
      <c r="O12" s="58">
        <f t="shared" si="1"/>
        <v>0</v>
      </c>
      <c r="P12" s="39">
        <f t="shared" si="2"/>
        <v>8</v>
      </c>
      <c r="Q12" s="40">
        <f t="shared" si="3"/>
        <v>16</v>
      </c>
      <c r="R12" s="7"/>
      <c r="S12" s="6"/>
      <c r="T12" s="16"/>
      <c r="U12" s="16"/>
      <c r="V12" s="17"/>
      <c r="W12" s="5">
        <v>16</v>
      </c>
      <c r="X12" s="16"/>
      <c r="Y12" s="16"/>
      <c r="Z12" s="16"/>
      <c r="AA12" s="18"/>
      <c r="AB12" s="8">
        <f t="shared" si="4"/>
        <v>1</v>
      </c>
      <c r="AC12" s="9">
        <f t="shared" si="5"/>
        <v>0.33333333333333331</v>
      </c>
      <c r="AD12" s="10">
        <f t="shared" si="6"/>
        <v>0.33333333333333331</v>
      </c>
      <c r="AE12" s="36">
        <f t="shared" si="7"/>
        <v>0.40151515151515144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115</v>
      </c>
      <c r="E13" s="53" t="s">
        <v>605</v>
      </c>
      <c r="F13" s="30" t="s">
        <v>128</v>
      </c>
      <c r="G13" s="33">
        <v>1</v>
      </c>
      <c r="H13" s="35">
        <v>22</v>
      </c>
      <c r="I13" s="7">
        <v>14000</v>
      </c>
      <c r="J13" s="14">
        <v>4958</v>
      </c>
      <c r="K13" s="15">
        <f>L13</f>
        <v>4958</v>
      </c>
      <c r="L13" s="15">
        <f>2343+2615</f>
        <v>4958</v>
      </c>
      <c r="M13" s="15">
        <f t="shared" si="0"/>
        <v>4958</v>
      </c>
      <c r="N13" s="15">
        <v>0</v>
      </c>
      <c r="O13" s="58">
        <f t="shared" si="1"/>
        <v>0</v>
      </c>
      <c r="P13" s="39">
        <f t="shared" si="2"/>
        <v>23</v>
      </c>
      <c r="Q13" s="40">
        <f t="shared" si="3"/>
        <v>1</v>
      </c>
      <c r="R13" s="7"/>
      <c r="S13" s="6"/>
      <c r="T13" s="16">
        <v>1</v>
      </c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0.95833333333333337</v>
      </c>
      <c r="AD13" s="10">
        <f t="shared" si="6"/>
        <v>0.95833333333333337</v>
      </c>
      <c r="AE13" s="36">
        <f t="shared" si="7"/>
        <v>0.40151515151515144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232</v>
      </c>
      <c r="D14" s="52" t="s">
        <v>477</v>
      </c>
      <c r="E14" s="53" t="s">
        <v>469</v>
      </c>
      <c r="F14" s="30" t="s">
        <v>171</v>
      </c>
      <c r="G14" s="33">
        <v>1</v>
      </c>
      <c r="H14" s="35">
        <v>50</v>
      </c>
      <c r="I14" s="7">
        <v>700</v>
      </c>
      <c r="J14" s="5">
        <v>750</v>
      </c>
      <c r="K14" s="15">
        <f>L14+750</f>
        <v>750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0.40151515151515144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52000</v>
      </c>
      <c r="J15" s="14">
        <v>26300</v>
      </c>
      <c r="K15" s="15">
        <f>L15+17004+25452+26300</f>
        <v>68756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0.40151515151515144</v>
      </c>
      <c r="AF15" s="84">
        <f t="shared" si="8"/>
        <v>10</v>
      </c>
    </row>
    <row r="16" spans="1:32" ht="27" customHeight="1">
      <c r="A16" s="112">
        <v>11</v>
      </c>
      <c r="B16" s="11" t="s">
        <v>57</v>
      </c>
      <c r="C16" s="34" t="s">
        <v>138</v>
      </c>
      <c r="D16" s="52" t="s">
        <v>608</v>
      </c>
      <c r="E16" s="53" t="s">
        <v>616</v>
      </c>
      <c r="F16" s="30" t="s">
        <v>139</v>
      </c>
      <c r="G16" s="12">
        <v>1</v>
      </c>
      <c r="H16" s="13">
        <v>24</v>
      </c>
      <c r="I16" s="7">
        <v>1100</v>
      </c>
      <c r="J16" s="14">
        <v>1142</v>
      </c>
      <c r="K16" s="15">
        <f>L16</f>
        <v>1142</v>
      </c>
      <c r="L16" s="15">
        <f>1142</f>
        <v>1142</v>
      </c>
      <c r="M16" s="15">
        <f t="shared" si="0"/>
        <v>1142</v>
      </c>
      <c r="N16" s="15">
        <v>0</v>
      </c>
      <c r="O16" s="58">
        <f t="shared" si="1"/>
        <v>0</v>
      </c>
      <c r="P16" s="39">
        <f t="shared" si="2"/>
        <v>8</v>
      </c>
      <c r="Q16" s="40">
        <f t="shared" si="3"/>
        <v>16</v>
      </c>
      <c r="R16" s="7"/>
      <c r="S16" s="6"/>
      <c r="T16" s="16"/>
      <c r="U16" s="16"/>
      <c r="V16" s="17"/>
      <c r="W16" s="5"/>
      <c r="X16" s="16"/>
      <c r="Y16" s="16"/>
      <c r="Z16" s="16"/>
      <c r="AA16" s="18">
        <v>16</v>
      </c>
      <c r="AB16" s="8">
        <f t="shared" si="4"/>
        <v>1</v>
      </c>
      <c r="AC16" s="9">
        <f t="shared" si="5"/>
        <v>0.33333333333333331</v>
      </c>
      <c r="AD16" s="10">
        <f t="shared" si="6"/>
        <v>0.33333333333333331</v>
      </c>
      <c r="AE16" s="36">
        <f t="shared" si="7"/>
        <v>0.40151515151515144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138</v>
      </c>
      <c r="D17" s="52"/>
      <c r="E17" s="53" t="s">
        <v>523</v>
      </c>
      <c r="F17" s="30" t="s">
        <v>530</v>
      </c>
      <c r="G17" s="12">
        <v>5</v>
      </c>
      <c r="H17" s="13">
        <v>24</v>
      </c>
      <c r="I17" s="7">
        <v>200000</v>
      </c>
      <c r="J17" s="14">
        <v>38310</v>
      </c>
      <c r="K17" s="15">
        <f>L17+26370+39325+19755+18405+40885+18620</f>
        <v>201670</v>
      </c>
      <c r="L17" s="15">
        <f>3567*5+4095*5</f>
        <v>38310</v>
      </c>
      <c r="M17" s="15">
        <f t="shared" si="0"/>
        <v>38310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6"/>
        <v>1</v>
      </c>
      <c r="AE17" s="36">
        <f t="shared" si="7"/>
        <v>0.40151515151515144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115</v>
      </c>
      <c r="E18" s="53" t="s">
        <v>617</v>
      </c>
      <c r="F18" s="30" t="s">
        <v>233</v>
      </c>
      <c r="G18" s="33">
        <v>1</v>
      </c>
      <c r="H18" s="35">
        <v>24</v>
      </c>
      <c r="I18" s="7">
        <v>1000</v>
      </c>
      <c r="J18" s="14">
        <v>1509</v>
      </c>
      <c r="K18" s="15">
        <f>L18</f>
        <v>1509</v>
      </c>
      <c r="L18" s="15">
        <f>302+1207</f>
        <v>1509</v>
      </c>
      <c r="M18" s="15">
        <f t="shared" si="0"/>
        <v>1509</v>
      </c>
      <c r="N18" s="15">
        <v>0</v>
      </c>
      <c r="O18" s="58">
        <f t="shared" si="1"/>
        <v>0</v>
      </c>
      <c r="P18" s="39">
        <f t="shared" si="2"/>
        <v>11</v>
      </c>
      <c r="Q18" s="40">
        <f t="shared" si="3"/>
        <v>13</v>
      </c>
      <c r="R18" s="7"/>
      <c r="S18" s="6"/>
      <c r="T18" s="16"/>
      <c r="U18" s="16"/>
      <c r="V18" s="17"/>
      <c r="W18" s="5">
        <v>13</v>
      </c>
      <c r="X18" s="16"/>
      <c r="Y18" s="16"/>
      <c r="Z18" s="16"/>
      <c r="AA18" s="18"/>
      <c r="AB18" s="8">
        <f t="shared" si="4"/>
        <v>1</v>
      </c>
      <c r="AC18" s="9">
        <f t="shared" si="5"/>
        <v>0.45833333333333331</v>
      </c>
      <c r="AD18" s="10">
        <f t="shared" si="6"/>
        <v>0.45833333333333331</v>
      </c>
      <c r="AE18" s="36">
        <f t="shared" si="7"/>
        <v>0.40151515151515144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112</v>
      </c>
      <c r="D19" s="52" t="s">
        <v>137</v>
      </c>
      <c r="E19" s="53" t="s">
        <v>586</v>
      </c>
      <c r="F19" s="30" t="s">
        <v>130</v>
      </c>
      <c r="G19" s="33">
        <v>1</v>
      </c>
      <c r="H19" s="35">
        <v>24</v>
      </c>
      <c r="I19" s="7">
        <v>14000</v>
      </c>
      <c r="J19" s="14">
        <v>5167</v>
      </c>
      <c r="K19" s="15">
        <f>L19+4841+2414</f>
        <v>12422</v>
      </c>
      <c r="L19" s="15">
        <f>2430+2737</f>
        <v>5167</v>
      </c>
      <c r="M19" s="15">
        <f t="shared" si="0"/>
        <v>5167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6"/>
        <v>1</v>
      </c>
      <c r="AE19" s="36">
        <f t="shared" si="7"/>
        <v>0.40151515151515144</v>
      </c>
      <c r="AF19" s="84">
        <f t="shared" si="8"/>
        <v>14</v>
      </c>
    </row>
    <row r="20" spans="1:32" ht="27" customHeight="1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206</v>
      </c>
      <c r="G20" s="12">
        <v>1</v>
      </c>
      <c r="H20" s="13">
        <v>24</v>
      </c>
      <c r="I20" s="7">
        <v>230000</v>
      </c>
      <c r="J20" s="14">
        <v>11136</v>
      </c>
      <c r="K20" s="15">
        <f>L20+7008+11154+9077+8768+10676+10588+2521+7242+10236+10216+10614+10620+10632+10760+10206+10892+10136+10692+10896+9992+10630+10894+7459+6981+3140+4342+308+5171+4481+8214+10962+10104+10526+2972</f>
        <v>300246</v>
      </c>
      <c r="L20" s="15">
        <f>2748*2+257*2+2563*2</f>
        <v>11136</v>
      </c>
      <c r="M20" s="15">
        <f t="shared" si="0"/>
        <v>11136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0.40151515151515144</v>
      </c>
      <c r="AF20" s="84">
        <f t="shared" si="8"/>
        <v>15</v>
      </c>
    </row>
    <row r="21" spans="1:32" ht="26.25" customHeight="1">
      <c r="A21" s="96">
        <v>16</v>
      </c>
      <c r="B21" s="11" t="s">
        <v>57</v>
      </c>
      <c r="C21" s="11" t="s">
        <v>113</v>
      </c>
      <c r="D21" s="52"/>
      <c r="E21" s="53" t="s">
        <v>134</v>
      </c>
      <c r="F21" s="12" t="s">
        <v>114</v>
      </c>
      <c r="G21" s="12">
        <v>4</v>
      </c>
      <c r="H21" s="35">
        <v>20</v>
      </c>
      <c r="I21" s="7">
        <v>1000000</v>
      </c>
      <c r="J21" s="14">
        <v>54656</v>
      </c>
      <c r="K21" s="15">
        <f>L21+50740+61508+62116+62068+58848</f>
        <v>349936</v>
      </c>
      <c r="L21" s="15">
        <f>5983*4+7681*4</f>
        <v>54656</v>
      </c>
      <c r="M21" s="15">
        <f t="shared" si="0"/>
        <v>54656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0.40151515151515144</v>
      </c>
      <c r="AF21" s="84">
        <f t="shared" si="8"/>
        <v>16</v>
      </c>
    </row>
    <row r="22" spans="1:32" ht="18.75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/>
      <c r="W22" s="5">
        <v>24</v>
      </c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0.40151515151515144</v>
      </c>
      <c r="AF22" s="84">
        <f t="shared" si="8"/>
        <v>31</v>
      </c>
    </row>
    <row r="23" spans="1:32" ht="18.75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0.40151515151515144</v>
      </c>
      <c r="AF23" s="84">
        <f t="shared" si="8"/>
        <v>32</v>
      </c>
    </row>
    <row r="24" spans="1:32" ht="18.75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3244</v>
      </c>
      <c r="K24" s="15">
        <f>L24+4387+7770+5806+7905+7479+7369+7360+2397+6904+7208+7013+6976+6992+2652+6495+7026+7051+7084+4297+6519+7042+3244</f>
        <v>136976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20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0.40151515151515144</v>
      </c>
      <c r="AF24" s="84">
        <f t="shared" si="8"/>
        <v>33</v>
      </c>
    </row>
    <row r="25" spans="1:32" ht="28.5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0.40151515151515144</v>
      </c>
      <c r="AF25" s="84">
        <f t="shared" si="8"/>
        <v>34</v>
      </c>
    </row>
    <row r="26" spans="1:32" ht="28.5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0.40151515151515144</v>
      </c>
      <c r="AF26" s="84">
        <f t="shared" si="8"/>
        <v>35</v>
      </c>
    </row>
    <row r="27" spans="1:32" ht="19.5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1300000</v>
      </c>
      <c r="J27" s="14">
        <v>199470</v>
      </c>
      <c r="K27" s="15">
        <f>L27+356070+486150+492600+465600+199470</f>
        <v>1999890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15</v>
      </c>
      <c r="R27" s="7"/>
      <c r="S27" s="6"/>
      <c r="T27" s="16"/>
      <c r="U27" s="16"/>
      <c r="V27" s="120"/>
      <c r="W27" s="5">
        <v>15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0.40151515151515144</v>
      </c>
      <c r="AF27" s="84">
        <f t="shared" si="8"/>
        <v>36</v>
      </c>
    </row>
    <row r="28" spans="1:32" ht="19.5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9">SUM(I6:I27)</f>
        <v>4007800</v>
      </c>
      <c r="J28" s="19">
        <f t="shared" si="9"/>
        <v>412880</v>
      </c>
      <c r="K28" s="20">
        <f t="shared" si="9"/>
        <v>4162630</v>
      </c>
      <c r="L28" s="21">
        <f t="shared" si="9"/>
        <v>147093</v>
      </c>
      <c r="M28" s="20">
        <f t="shared" si="9"/>
        <v>147093</v>
      </c>
      <c r="N28" s="21">
        <f t="shared" si="9"/>
        <v>0</v>
      </c>
      <c r="O28" s="41">
        <f t="shared" si="1"/>
        <v>0</v>
      </c>
      <c r="P28" s="42">
        <f t="shared" ref="P28:AA28" si="10">SUM(P6:P27)</f>
        <v>212</v>
      </c>
      <c r="Q28" s="43">
        <f t="shared" si="10"/>
        <v>307</v>
      </c>
      <c r="R28" s="23">
        <f t="shared" si="10"/>
        <v>0</v>
      </c>
      <c r="S28" s="24">
        <f t="shared" si="10"/>
        <v>6</v>
      </c>
      <c r="T28" s="24">
        <f t="shared" si="10"/>
        <v>1</v>
      </c>
      <c r="U28" s="24">
        <f t="shared" si="10"/>
        <v>0</v>
      </c>
      <c r="V28" s="25">
        <f t="shared" si="10"/>
        <v>0</v>
      </c>
      <c r="W28" s="26">
        <f t="shared" si="10"/>
        <v>260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40</v>
      </c>
      <c r="AB28" s="28">
        <f>AVERAGE(AB6:AB27)</f>
        <v>0.55000000000000004</v>
      </c>
      <c r="AC28" s="4">
        <f>AVERAGE(AC6:AC27)</f>
        <v>0.40151515151515144</v>
      </c>
      <c r="AD28" s="4">
        <f>AVERAGE(AD6:AD27)</f>
        <v>0.40151515151515144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618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622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451" t="s">
        <v>46</v>
      </c>
      <c r="D57" s="451" t="s">
        <v>47</v>
      </c>
      <c r="E57" s="451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451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43" t="s">
        <v>138</v>
      </c>
      <c r="B58" s="533"/>
      <c r="C58" s="454" t="s">
        <v>217</v>
      </c>
      <c r="D58" s="454" t="s">
        <v>142</v>
      </c>
      <c r="E58" s="454" t="s">
        <v>241</v>
      </c>
      <c r="F58" s="530" t="s">
        <v>619</v>
      </c>
      <c r="G58" s="531"/>
      <c r="H58" s="531"/>
      <c r="I58" s="531"/>
      <c r="J58" s="531"/>
      <c r="K58" s="531"/>
      <c r="L58" s="531"/>
      <c r="M58" s="532"/>
      <c r="N58" s="453" t="s">
        <v>138</v>
      </c>
      <c r="O58" s="459" t="s">
        <v>217</v>
      </c>
      <c r="P58" s="544" t="s">
        <v>142</v>
      </c>
      <c r="Q58" s="545"/>
      <c r="R58" s="544" t="s">
        <v>241</v>
      </c>
      <c r="S58" s="546"/>
      <c r="T58" s="546"/>
      <c r="U58" s="545"/>
      <c r="V58" s="517" t="s">
        <v>120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43" t="s">
        <v>112</v>
      </c>
      <c r="B59" s="533"/>
      <c r="C59" s="454" t="s">
        <v>195</v>
      </c>
      <c r="D59" s="454" t="s">
        <v>115</v>
      </c>
      <c r="E59" s="454" t="s">
        <v>605</v>
      </c>
      <c r="F59" s="530" t="s">
        <v>124</v>
      </c>
      <c r="G59" s="531"/>
      <c r="H59" s="531"/>
      <c r="I59" s="531"/>
      <c r="J59" s="531"/>
      <c r="K59" s="531"/>
      <c r="L59" s="531"/>
      <c r="M59" s="532"/>
      <c r="N59" s="453" t="s">
        <v>112</v>
      </c>
      <c r="O59" s="459" t="s">
        <v>307</v>
      </c>
      <c r="P59" s="544" t="s">
        <v>137</v>
      </c>
      <c r="Q59" s="545"/>
      <c r="R59" s="544" t="s">
        <v>623</v>
      </c>
      <c r="S59" s="546"/>
      <c r="T59" s="546"/>
      <c r="U59" s="545"/>
      <c r="V59" s="517" t="s">
        <v>124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112</v>
      </c>
      <c r="B60" s="533"/>
      <c r="C60" s="454" t="s">
        <v>167</v>
      </c>
      <c r="D60" s="454" t="s">
        <v>115</v>
      </c>
      <c r="E60" s="454" t="s">
        <v>617</v>
      </c>
      <c r="F60" s="530" t="s">
        <v>124</v>
      </c>
      <c r="G60" s="531"/>
      <c r="H60" s="531"/>
      <c r="I60" s="531"/>
      <c r="J60" s="531"/>
      <c r="K60" s="531"/>
      <c r="L60" s="531"/>
      <c r="M60" s="532"/>
      <c r="N60" s="453" t="s">
        <v>112</v>
      </c>
      <c r="O60" s="459" t="s">
        <v>230</v>
      </c>
      <c r="P60" s="544" t="s">
        <v>625</v>
      </c>
      <c r="Q60" s="545"/>
      <c r="R60" s="544" t="s">
        <v>624</v>
      </c>
      <c r="S60" s="546"/>
      <c r="T60" s="546"/>
      <c r="U60" s="545"/>
      <c r="V60" s="517" t="s">
        <v>124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138</v>
      </c>
      <c r="B61" s="533"/>
      <c r="C61" s="454" t="s">
        <v>210</v>
      </c>
      <c r="D61" s="454" t="s">
        <v>620</v>
      </c>
      <c r="E61" s="454" t="s">
        <v>621</v>
      </c>
      <c r="F61" s="530" t="s">
        <v>124</v>
      </c>
      <c r="G61" s="531"/>
      <c r="H61" s="531"/>
      <c r="I61" s="531"/>
      <c r="J61" s="531"/>
      <c r="K61" s="531"/>
      <c r="L61" s="531"/>
      <c r="M61" s="532"/>
      <c r="N61" s="453"/>
      <c r="O61" s="459"/>
      <c r="P61" s="544"/>
      <c r="Q61" s="545"/>
      <c r="R61" s="544"/>
      <c r="S61" s="546"/>
      <c r="T61" s="546"/>
      <c r="U61" s="545"/>
      <c r="V61" s="517"/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/>
      <c r="B62" s="533"/>
      <c r="C62" s="454"/>
      <c r="D62" s="454"/>
      <c r="E62" s="454"/>
      <c r="F62" s="530"/>
      <c r="G62" s="531"/>
      <c r="H62" s="531"/>
      <c r="I62" s="531"/>
      <c r="J62" s="531"/>
      <c r="K62" s="531"/>
      <c r="L62" s="531"/>
      <c r="M62" s="532"/>
      <c r="N62" s="453"/>
      <c r="O62" s="459"/>
      <c r="P62" s="544"/>
      <c r="Q62" s="545"/>
      <c r="R62" s="544"/>
      <c r="S62" s="546"/>
      <c r="T62" s="546"/>
      <c r="U62" s="545"/>
      <c r="V62" s="517"/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/>
      <c r="B63" s="533"/>
      <c r="C63" s="454"/>
      <c r="D63" s="454"/>
      <c r="E63" s="454"/>
      <c r="F63" s="530"/>
      <c r="G63" s="531"/>
      <c r="H63" s="531"/>
      <c r="I63" s="531"/>
      <c r="J63" s="531"/>
      <c r="K63" s="531"/>
      <c r="L63" s="531"/>
      <c r="M63" s="532"/>
      <c r="N63" s="453"/>
      <c r="O63" s="459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454"/>
      <c r="D64" s="454"/>
      <c r="E64" s="454"/>
      <c r="F64" s="530"/>
      <c r="G64" s="531"/>
      <c r="H64" s="531"/>
      <c r="I64" s="531"/>
      <c r="J64" s="531"/>
      <c r="K64" s="531"/>
      <c r="L64" s="531"/>
      <c r="M64" s="532"/>
      <c r="N64" s="453"/>
      <c r="O64" s="459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452"/>
      <c r="D65" s="452"/>
      <c r="E65" s="454"/>
      <c r="F65" s="530"/>
      <c r="G65" s="531"/>
      <c r="H65" s="531"/>
      <c r="I65" s="531"/>
      <c r="J65" s="531"/>
      <c r="K65" s="531"/>
      <c r="L65" s="531"/>
      <c r="M65" s="532"/>
      <c r="N65" s="453"/>
      <c r="O65" s="459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452"/>
      <c r="D66" s="452"/>
      <c r="E66" s="454"/>
      <c r="F66" s="530"/>
      <c r="G66" s="531"/>
      <c r="H66" s="531"/>
      <c r="I66" s="531"/>
      <c r="J66" s="531"/>
      <c r="K66" s="531"/>
      <c r="L66" s="531"/>
      <c r="M66" s="532"/>
      <c r="N66" s="453"/>
      <c r="O66" s="459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455"/>
      <c r="D67" s="456"/>
      <c r="E67" s="455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626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457" t="s">
        <v>2</v>
      </c>
      <c r="D69" s="457" t="s">
        <v>37</v>
      </c>
      <c r="E69" s="457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457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 t="s">
        <v>116</v>
      </c>
      <c r="D70" s="461"/>
      <c r="E70" s="458" t="s">
        <v>135</v>
      </c>
      <c r="F70" s="514" t="s">
        <v>627</v>
      </c>
      <c r="G70" s="504"/>
      <c r="H70" s="504"/>
      <c r="I70" s="504"/>
      <c r="J70" s="504"/>
      <c r="K70" s="504" t="s">
        <v>628</v>
      </c>
      <c r="L70" s="504"/>
      <c r="M70" s="51" t="s">
        <v>421</v>
      </c>
      <c r="N70" s="515" t="s">
        <v>307</v>
      </c>
      <c r="O70" s="515"/>
      <c r="P70" s="516" t="s">
        <v>629</v>
      </c>
      <c r="Q70" s="516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 t="s">
        <v>116</v>
      </c>
      <c r="D71" s="461"/>
      <c r="E71" s="458" t="s">
        <v>127</v>
      </c>
      <c r="F71" s="518" t="s">
        <v>630</v>
      </c>
      <c r="G71" s="519"/>
      <c r="H71" s="519"/>
      <c r="I71" s="519"/>
      <c r="J71" s="520"/>
      <c r="K71" s="504" t="s">
        <v>169</v>
      </c>
      <c r="L71" s="504"/>
      <c r="M71" s="51" t="s">
        <v>216</v>
      </c>
      <c r="N71" s="515" t="s">
        <v>307</v>
      </c>
      <c r="O71" s="515"/>
      <c r="P71" s="516">
        <v>50</v>
      </c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 t="s">
        <v>631</v>
      </c>
      <c r="D72" s="461"/>
      <c r="E72" s="458"/>
      <c r="F72" s="518" t="s">
        <v>244</v>
      </c>
      <c r="G72" s="519"/>
      <c r="H72" s="519"/>
      <c r="I72" s="519"/>
      <c r="J72" s="520"/>
      <c r="K72" s="504" t="s">
        <v>141</v>
      </c>
      <c r="L72" s="504"/>
      <c r="M72" s="51" t="s">
        <v>316</v>
      </c>
      <c r="N72" s="515" t="s">
        <v>307</v>
      </c>
      <c r="O72" s="515"/>
      <c r="P72" s="516"/>
      <c r="Q72" s="516"/>
      <c r="R72" s="517" t="s">
        <v>368</v>
      </c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 t="s">
        <v>138</v>
      </c>
      <c r="D73" s="461"/>
      <c r="E73" s="458" t="s">
        <v>115</v>
      </c>
      <c r="F73" s="518" t="s">
        <v>632</v>
      </c>
      <c r="G73" s="519"/>
      <c r="H73" s="519"/>
      <c r="I73" s="519"/>
      <c r="J73" s="520"/>
      <c r="K73" s="504" t="s">
        <v>128</v>
      </c>
      <c r="L73" s="504"/>
      <c r="M73" s="51" t="s">
        <v>216</v>
      </c>
      <c r="N73" s="515" t="s">
        <v>287</v>
      </c>
      <c r="O73" s="515"/>
      <c r="P73" s="516">
        <v>100</v>
      </c>
      <c r="Q73" s="516"/>
      <c r="R73" s="517" t="s">
        <v>633</v>
      </c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 t="s">
        <v>173</v>
      </c>
      <c r="D74" s="461"/>
      <c r="E74" s="458"/>
      <c r="F74" s="518" t="s">
        <v>634</v>
      </c>
      <c r="G74" s="519"/>
      <c r="H74" s="519"/>
      <c r="I74" s="519"/>
      <c r="J74" s="520"/>
      <c r="K74" s="504" t="s">
        <v>175</v>
      </c>
      <c r="L74" s="504"/>
      <c r="M74" s="51" t="s">
        <v>216</v>
      </c>
      <c r="N74" s="515" t="s">
        <v>210</v>
      </c>
      <c r="O74" s="515"/>
      <c r="P74" s="516"/>
      <c r="Q74" s="516"/>
      <c r="R74" s="517" t="s">
        <v>540</v>
      </c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/>
      <c r="D75" s="461"/>
      <c r="E75" s="458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/>
      <c r="D76" s="461"/>
      <c r="E76" s="458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461"/>
      <c r="E77" s="458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461"/>
      <c r="E78" s="458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461"/>
      <c r="E79" s="458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635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460" t="s">
        <v>2</v>
      </c>
      <c r="D81" s="460" t="s">
        <v>37</v>
      </c>
      <c r="E81" s="460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462"/>
      <c r="D82" s="462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461"/>
      <c r="D83" s="461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1">A83+1</f>
        <v>3</v>
      </c>
      <c r="B84" s="472"/>
      <c r="C84" s="461"/>
      <c r="D84" s="461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1"/>
        <v>4</v>
      </c>
      <c r="B85" s="472"/>
      <c r="C85" s="461"/>
      <c r="D85" s="461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1"/>
        <v>5</v>
      </c>
      <c r="B86" s="472"/>
      <c r="C86" s="461"/>
      <c r="D86" s="461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1"/>
        <v>6</v>
      </c>
      <c r="B87" s="472"/>
      <c r="C87" s="461"/>
      <c r="D87" s="461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1"/>
        <v>7</v>
      </c>
      <c r="B88" s="472"/>
      <c r="C88" s="461"/>
      <c r="D88" s="461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636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>
        <v>1900000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3" max="29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AG26"/>
  <sheetViews>
    <sheetView view="pageBreakPreview" zoomScaleNormal="100" zoomScaleSheetLayoutView="10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AI16" sqref="AI16"/>
    </sheetView>
  </sheetViews>
  <sheetFormatPr defaultRowHeight="13.5"/>
  <cols>
    <col min="1" max="1" width="7.5" style="68" bestFit="1" customWidth="1"/>
    <col min="2" max="17" width="5.5" style="68" bestFit="1" customWidth="1"/>
    <col min="18" max="18" width="6" style="68" customWidth="1"/>
    <col min="19" max="32" width="5.5" style="68" bestFit="1" customWidth="1"/>
    <col min="33" max="33" width="6.5" style="68" bestFit="1" customWidth="1"/>
    <col min="34" max="16384" width="9" style="68"/>
  </cols>
  <sheetData>
    <row r="1" spans="1:33" ht="33.75" customHeight="1" thickBot="1">
      <c r="A1" s="587" t="s">
        <v>189</v>
      </c>
      <c r="B1" s="587"/>
      <c r="C1" s="587"/>
      <c r="D1" s="587"/>
      <c r="E1" s="587"/>
      <c r="F1" s="587"/>
      <c r="G1" s="587"/>
      <c r="H1" s="587"/>
    </row>
    <row r="2" spans="1:33" ht="21.75" customHeight="1" thickBot="1">
      <c r="A2" s="86" t="s">
        <v>59</v>
      </c>
      <c r="B2" s="88" t="s">
        <v>73</v>
      </c>
      <c r="C2" s="89" t="s">
        <v>74</v>
      </c>
      <c r="D2" s="89" t="s">
        <v>75</v>
      </c>
      <c r="E2" s="89" t="s">
        <v>76</v>
      </c>
      <c r="F2" s="89" t="s">
        <v>77</v>
      </c>
      <c r="G2" s="89" t="s">
        <v>78</v>
      </c>
      <c r="H2" s="89" t="s">
        <v>79</v>
      </c>
      <c r="I2" s="89" t="s">
        <v>80</v>
      </c>
      <c r="J2" s="89" t="s">
        <v>81</v>
      </c>
      <c r="K2" s="89" t="s">
        <v>82</v>
      </c>
      <c r="L2" s="89" t="s">
        <v>83</v>
      </c>
      <c r="M2" s="89" t="s">
        <v>84</v>
      </c>
      <c r="N2" s="89" t="s">
        <v>85</v>
      </c>
      <c r="O2" s="89" t="s">
        <v>86</v>
      </c>
      <c r="P2" s="89" t="s">
        <v>87</v>
      </c>
      <c r="Q2" s="89" t="s">
        <v>88</v>
      </c>
      <c r="R2" s="89" t="s">
        <v>89</v>
      </c>
      <c r="S2" s="89" t="s">
        <v>90</v>
      </c>
      <c r="T2" s="89" t="s">
        <v>91</v>
      </c>
      <c r="U2" s="89" t="s">
        <v>92</v>
      </c>
      <c r="V2" s="89" t="s">
        <v>93</v>
      </c>
      <c r="W2" s="89" t="s">
        <v>94</v>
      </c>
      <c r="X2" s="89" t="s">
        <v>95</v>
      </c>
      <c r="Y2" s="89" t="s">
        <v>96</v>
      </c>
      <c r="Z2" s="89" t="s">
        <v>97</v>
      </c>
      <c r="AA2" s="89" t="s">
        <v>98</v>
      </c>
      <c r="AB2" s="89" t="s">
        <v>99</v>
      </c>
      <c r="AC2" s="89" t="s">
        <v>100</v>
      </c>
      <c r="AD2" s="89" t="s">
        <v>101</v>
      </c>
      <c r="AE2" s="89" t="s">
        <v>102</v>
      </c>
      <c r="AF2" s="90" t="s">
        <v>103</v>
      </c>
      <c r="AG2" s="86" t="s">
        <v>105</v>
      </c>
    </row>
    <row r="3" spans="1:33" ht="21.75" customHeight="1">
      <c r="A3" s="113" t="s">
        <v>60</v>
      </c>
      <c r="B3" s="114">
        <f>'01'!AD6</f>
        <v>1</v>
      </c>
      <c r="C3" s="114"/>
      <c r="D3" s="115">
        <f>'03'!AD6</f>
        <v>1</v>
      </c>
      <c r="E3" s="115">
        <f>'04'!AD6</f>
        <v>1</v>
      </c>
      <c r="F3" s="115">
        <f>'05'!AD6</f>
        <v>1</v>
      </c>
      <c r="G3" s="115">
        <f>'06'!AD6</f>
        <v>1</v>
      </c>
      <c r="H3" s="115">
        <f>'07'!AD6</f>
        <v>1</v>
      </c>
      <c r="I3" s="115">
        <f>'08'!AD6</f>
        <v>1</v>
      </c>
      <c r="J3" s="115"/>
      <c r="K3" s="115">
        <f>'10'!AD6</f>
        <v>0</v>
      </c>
      <c r="L3" s="115">
        <f>'11'!AD6</f>
        <v>0.58333333333333337</v>
      </c>
      <c r="M3" s="115">
        <f>'12'!AD6</f>
        <v>1</v>
      </c>
      <c r="N3" s="116">
        <f>'13'!AD6+'13'!AD7</f>
        <v>0.875</v>
      </c>
      <c r="O3" s="115">
        <f>'14'!AD6+'14'!AD7</f>
        <v>0.91666666666666663</v>
      </c>
      <c r="P3" s="115">
        <f>'15'!AD6</f>
        <v>0.16666666666666666</v>
      </c>
      <c r="Q3" s="115"/>
      <c r="R3" s="115">
        <f>'17'!AD6</f>
        <v>0</v>
      </c>
      <c r="S3" s="115">
        <f>'18'!AD6</f>
        <v>0.16666666666666666</v>
      </c>
      <c r="T3" s="115">
        <f>'19'!AD6</f>
        <v>0</v>
      </c>
      <c r="U3" s="115">
        <f>'20'!AD6</f>
        <v>0</v>
      </c>
      <c r="V3" s="115">
        <f>'21'!AD6</f>
        <v>0.16666666666666666</v>
      </c>
      <c r="W3" s="116">
        <f>'22'!AD6</f>
        <v>0</v>
      </c>
      <c r="X3" s="115">
        <f>'23'!AD6</f>
        <v>0</v>
      </c>
      <c r="Y3" s="115">
        <f>'24'!AD6</f>
        <v>0</v>
      </c>
      <c r="Z3" s="115">
        <f>'25'!AD6</f>
        <v>0</v>
      </c>
      <c r="AA3" s="115">
        <f>'26'!AD6</f>
        <v>0</v>
      </c>
      <c r="AB3" s="115">
        <f>'27'!AD6</f>
        <v>0</v>
      </c>
      <c r="AC3" s="115">
        <f>'28'!AD6</f>
        <v>0.66666666666666663</v>
      </c>
      <c r="AD3" s="115">
        <f>'29'!AD6</f>
        <v>0.25</v>
      </c>
      <c r="AE3" s="115">
        <f>'30'!AD6</f>
        <v>0</v>
      </c>
      <c r="AF3" s="117">
        <f>'31'!AD6</f>
        <v>0</v>
      </c>
      <c r="AG3" s="118">
        <f>SUM(B3:AF3)/31</f>
        <v>0.38037634408602139</v>
      </c>
    </row>
    <row r="4" spans="1:33" ht="21.75" customHeight="1">
      <c r="A4" s="101" t="s">
        <v>61</v>
      </c>
      <c r="B4" s="98">
        <f>'01'!AD7</f>
        <v>0</v>
      </c>
      <c r="C4" s="98"/>
      <c r="D4" s="77">
        <f>'03'!AD7</f>
        <v>0</v>
      </c>
      <c r="E4" s="77">
        <f>'04'!AD7</f>
        <v>0</v>
      </c>
      <c r="F4" s="77">
        <f>'05'!AD7</f>
        <v>0</v>
      </c>
      <c r="G4" s="119">
        <f>'06'!AD7</f>
        <v>0.5</v>
      </c>
      <c r="H4" s="77">
        <f>'07'!AD7</f>
        <v>0.95833333333333337</v>
      </c>
      <c r="I4" s="77">
        <f>'08'!AD7</f>
        <v>0.95833333333333337</v>
      </c>
      <c r="J4" s="77"/>
      <c r="K4" s="77">
        <f>'10'!AD7</f>
        <v>0.45833333333333331</v>
      </c>
      <c r="L4" s="77">
        <f>'11'!AD7</f>
        <v>0.875</v>
      </c>
      <c r="M4" s="77">
        <f>'12'!AD7</f>
        <v>0.5</v>
      </c>
      <c r="N4" s="77">
        <f>'13'!AD8</f>
        <v>1</v>
      </c>
      <c r="O4" s="77">
        <f>'14'!AD8</f>
        <v>1</v>
      </c>
      <c r="P4" s="77">
        <f>'15'!AD7</f>
        <v>0</v>
      </c>
      <c r="Q4" s="77"/>
      <c r="R4" s="77">
        <f>'17'!AD7</f>
        <v>0</v>
      </c>
      <c r="S4" s="77">
        <f>'18'!AD7</f>
        <v>0.45833333333333331</v>
      </c>
      <c r="T4" s="77">
        <f>'19'!AD7</f>
        <v>0.875</v>
      </c>
      <c r="U4" s="77">
        <f>'20'!AD7</f>
        <v>0.875</v>
      </c>
      <c r="V4" s="77">
        <f>'21'!AD7</f>
        <v>0.79166666666666663</v>
      </c>
      <c r="W4" s="77">
        <f>'22'!AD7</f>
        <v>0.79166666666666663</v>
      </c>
      <c r="X4" s="77">
        <f>'23'!AD7</f>
        <v>0.45833333333333331</v>
      </c>
      <c r="Y4" s="77">
        <f>'24'!AD7</f>
        <v>0.875</v>
      </c>
      <c r="Z4" s="77">
        <f>'25'!AD7</f>
        <v>1</v>
      </c>
      <c r="AA4" s="77">
        <f>'26'!AD7</f>
        <v>0.91666666666666663</v>
      </c>
      <c r="AB4" s="77">
        <f>'27'!AD7</f>
        <v>0.625</v>
      </c>
      <c r="AC4" s="77">
        <f>'28'!AD7</f>
        <v>0.875</v>
      </c>
      <c r="AD4" s="77">
        <f>'29'!AD7</f>
        <v>0.91666666666666663</v>
      </c>
      <c r="AE4" s="77">
        <f>'30'!AD7</f>
        <v>0.33333333333333331</v>
      </c>
      <c r="AF4" s="78">
        <f>'31'!AD7</f>
        <v>0.75</v>
      </c>
      <c r="AG4" s="79">
        <f t="shared" ref="AG4:AG24" si="0">SUM(B4:AF4)/31</f>
        <v>0.54166666666666663</v>
      </c>
    </row>
    <row r="5" spans="1:33" ht="21.75" customHeight="1">
      <c r="A5" s="101" t="s">
        <v>62</v>
      </c>
      <c r="B5" s="98">
        <f>'01'!AD8</f>
        <v>0.625</v>
      </c>
      <c r="C5" s="98"/>
      <c r="D5" s="77">
        <f>'03'!AD8</f>
        <v>1</v>
      </c>
      <c r="E5" s="77">
        <f>'04'!AD8</f>
        <v>0.66666666666666663</v>
      </c>
      <c r="F5" s="77">
        <f>'05'!AD8</f>
        <v>0</v>
      </c>
      <c r="G5" s="77">
        <f>'06'!AD8</f>
        <v>0.58333333333333337</v>
      </c>
      <c r="H5" s="77">
        <f>'07'!AD8</f>
        <v>0.20833333333333334</v>
      </c>
      <c r="I5" s="77">
        <f>'08'!AD8</f>
        <v>0.58333333333333337</v>
      </c>
      <c r="J5" s="77"/>
      <c r="K5" s="77">
        <f>'10'!AD8</f>
        <v>0.95833333333333337</v>
      </c>
      <c r="L5" s="77">
        <f>'11'!AD8</f>
        <v>1</v>
      </c>
      <c r="M5" s="77">
        <f>'12'!AD8</f>
        <v>1</v>
      </c>
      <c r="N5" s="77">
        <f>'13'!AD9</f>
        <v>1</v>
      </c>
      <c r="O5" s="77">
        <f>'14'!AD9</f>
        <v>1</v>
      </c>
      <c r="P5" s="77">
        <f>'15'!AD8</f>
        <v>1</v>
      </c>
      <c r="Q5" s="77"/>
      <c r="R5" s="77">
        <f>'17'!AD8</f>
        <v>0.58333333333333337</v>
      </c>
      <c r="S5" s="77">
        <f>'18'!AD8</f>
        <v>1</v>
      </c>
      <c r="T5" s="77">
        <f>'19'!AD8</f>
        <v>1</v>
      </c>
      <c r="U5" s="77">
        <f>'20'!AD8</f>
        <v>1</v>
      </c>
      <c r="V5" s="77">
        <f>'21'!AD8</f>
        <v>1</v>
      </c>
      <c r="W5" s="119">
        <f>'22'!AD8</f>
        <v>1</v>
      </c>
      <c r="X5" s="77">
        <f>'23'!AD8</f>
        <v>0.45833333333333331</v>
      </c>
      <c r="Y5" s="77">
        <f>'24'!AD8</f>
        <v>0.58333333333333337</v>
      </c>
      <c r="Z5" s="77">
        <f>'25'!AD8</f>
        <v>1</v>
      </c>
      <c r="AA5" s="77">
        <f>'26'!AD8</f>
        <v>1</v>
      </c>
      <c r="AB5" s="77">
        <f>'27'!AD8</f>
        <v>1</v>
      </c>
      <c r="AC5" s="77">
        <f>'28'!AD8</f>
        <v>1</v>
      </c>
      <c r="AD5" s="77">
        <f>'29'!AD8</f>
        <v>0.33333333333333331</v>
      </c>
      <c r="AE5" s="77">
        <f>'30'!AD8</f>
        <v>0</v>
      </c>
      <c r="AF5" s="78">
        <f>'31'!AD8</f>
        <v>1</v>
      </c>
      <c r="AG5" s="79">
        <f t="shared" si="0"/>
        <v>0.69623655913978488</v>
      </c>
    </row>
    <row r="6" spans="1:33" ht="21.75" customHeight="1">
      <c r="A6" s="101" t="s">
        <v>63</v>
      </c>
      <c r="B6" s="98">
        <f>'01'!AD9</f>
        <v>0.625</v>
      </c>
      <c r="C6" s="98"/>
      <c r="D6" s="77">
        <f>'03'!AD9</f>
        <v>0.75</v>
      </c>
      <c r="E6" s="77">
        <f>'04'!AD9</f>
        <v>0.58333333333333337</v>
      </c>
      <c r="F6" s="77">
        <f>'05'!AD9</f>
        <v>0.79166666666666663</v>
      </c>
      <c r="G6" s="77">
        <f>'06'!AD9</f>
        <v>0.41666666666666669</v>
      </c>
      <c r="H6" s="77">
        <f>'07'!AD9</f>
        <v>0</v>
      </c>
      <c r="I6" s="77">
        <f>'08'!AD9</f>
        <v>0.83333333333333337</v>
      </c>
      <c r="J6" s="77"/>
      <c r="K6" s="77">
        <f>'10'!AD9</f>
        <v>1</v>
      </c>
      <c r="L6" s="77">
        <f>'11'!AD9</f>
        <v>1</v>
      </c>
      <c r="M6" s="77">
        <f>'12'!AD9</f>
        <v>1</v>
      </c>
      <c r="N6" s="77">
        <f>'13'!AD10</f>
        <v>1</v>
      </c>
      <c r="O6" s="77">
        <f>'14'!AD10</f>
        <v>1</v>
      </c>
      <c r="P6" s="77">
        <f>'15'!AD9</f>
        <v>1</v>
      </c>
      <c r="Q6" s="77"/>
      <c r="R6" s="77">
        <f>'17'!AD9</f>
        <v>0.70833333333333337</v>
      </c>
      <c r="S6" s="77">
        <f>'18'!AD9</f>
        <v>1</v>
      </c>
      <c r="T6" s="77">
        <f>'19'!AD9</f>
        <v>1</v>
      </c>
      <c r="U6" s="77">
        <f>'20'!AD9</f>
        <v>1</v>
      </c>
      <c r="V6" s="77">
        <f>'21'!AD9</f>
        <v>1</v>
      </c>
      <c r="W6" s="77">
        <f>'22'!AD9</f>
        <v>0.83333333333333337</v>
      </c>
      <c r="X6" s="77">
        <f>'23'!AD9</f>
        <v>0.45833333333333331</v>
      </c>
      <c r="Y6" s="77">
        <f>'24'!AD9</f>
        <v>1</v>
      </c>
      <c r="Z6" s="77">
        <f>'25'!AD9</f>
        <v>1</v>
      </c>
      <c r="AA6" s="77">
        <f>'26'!AD9</f>
        <v>1</v>
      </c>
      <c r="AB6" s="77">
        <f>'27'!AD9</f>
        <v>1</v>
      </c>
      <c r="AC6" s="77">
        <f>'28'!AD9</f>
        <v>1</v>
      </c>
      <c r="AD6" s="77">
        <f>'29'!AD9</f>
        <v>1</v>
      </c>
      <c r="AE6" s="77">
        <f>'30'!AD9</f>
        <v>0.45833333333333331</v>
      </c>
      <c r="AF6" s="78">
        <f>'31'!AD9</f>
        <v>1</v>
      </c>
      <c r="AG6" s="79">
        <f t="shared" si="0"/>
        <v>0.75672043010752688</v>
      </c>
    </row>
    <row r="7" spans="1:33" ht="21.75" customHeight="1">
      <c r="A7" s="101" t="s">
        <v>64</v>
      </c>
      <c r="B7" s="98">
        <f>'01'!AD10</f>
        <v>1</v>
      </c>
      <c r="C7" s="98"/>
      <c r="D7" s="77">
        <f>'03'!AD10</f>
        <v>0</v>
      </c>
      <c r="E7" s="77">
        <f>'04'!AD10</f>
        <v>0</v>
      </c>
      <c r="F7" s="77">
        <f>'05'!AD10</f>
        <v>0</v>
      </c>
      <c r="G7" s="77">
        <f>'06'!AD10</f>
        <v>0</v>
      </c>
      <c r="H7" s="77">
        <f>'07'!AD10</f>
        <v>0</v>
      </c>
      <c r="I7" s="77">
        <f>'08'!AD10</f>
        <v>0</v>
      </c>
      <c r="J7" s="77"/>
      <c r="K7" s="77">
        <f>'10'!AD10</f>
        <v>0</v>
      </c>
      <c r="L7" s="77">
        <f>'11'!AD10</f>
        <v>0</v>
      </c>
      <c r="M7" s="77">
        <f>'12'!AD10</f>
        <v>0</v>
      </c>
      <c r="N7" s="77">
        <f>'13'!AD11</f>
        <v>0</v>
      </c>
      <c r="O7" s="77">
        <f>'14'!AD11</f>
        <v>0</v>
      </c>
      <c r="P7" s="77">
        <f>'15'!AD10</f>
        <v>0</v>
      </c>
      <c r="Q7" s="77"/>
      <c r="R7" s="77">
        <f>'17'!AD10</f>
        <v>0</v>
      </c>
      <c r="S7" s="77">
        <f>'18'!AD10</f>
        <v>0</v>
      </c>
      <c r="T7" s="77">
        <f>'19'!AD10</f>
        <v>0</v>
      </c>
      <c r="U7" s="77">
        <f>'20'!AD10</f>
        <v>0</v>
      </c>
      <c r="V7" s="77">
        <f>'21'!AD10</f>
        <v>0.83333333333333337</v>
      </c>
      <c r="W7" s="77">
        <f>'22'!AD10</f>
        <v>1</v>
      </c>
      <c r="X7" s="77">
        <f>'23'!AD10</f>
        <v>0.45833333333333331</v>
      </c>
      <c r="Y7" s="77">
        <f>'24'!AD10</f>
        <v>1</v>
      </c>
      <c r="Z7" s="77">
        <f>'25'!AD10</f>
        <v>1</v>
      </c>
      <c r="AA7" s="77">
        <f>'26'!AD10</f>
        <v>0.95833333333333337</v>
      </c>
      <c r="AB7" s="77">
        <f>'27'!AD10</f>
        <v>0.95833333333333337</v>
      </c>
      <c r="AC7" s="77">
        <f>'28'!AD10</f>
        <v>0.95833333333333337</v>
      </c>
      <c r="AD7" s="77">
        <f>'29'!AD10</f>
        <v>0.875</v>
      </c>
      <c r="AE7" s="77">
        <f>'30'!AD10</f>
        <v>0</v>
      </c>
      <c r="AF7" s="78">
        <f>'31'!AD10</f>
        <v>0</v>
      </c>
      <c r="AG7" s="79">
        <f t="shared" si="0"/>
        <v>0.29166666666666663</v>
      </c>
    </row>
    <row r="8" spans="1:33" ht="21.75" customHeight="1">
      <c r="A8" s="101" t="s">
        <v>65</v>
      </c>
      <c r="B8" s="98">
        <f>'01'!AD11</f>
        <v>0</v>
      </c>
      <c r="C8" s="98"/>
      <c r="D8" s="77">
        <f>'03'!AD11</f>
        <v>0.16666666666666666</v>
      </c>
      <c r="E8" s="77">
        <f>'04'!AD11</f>
        <v>0.45833333333333331</v>
      </c>
      <c r="F8" s="77">
        <f>'05'!AD11</f>
        <v>0</v>
      </c>
      <c r="G8" s="77">
        <f>'06'!AD11</f>
        <v>0.79166666666666663</v>
      </c>
      <c r="H8" s="77">
        <f>'07'!AD11</f>
        <v>0.83333333333333337</v>
      </c>
      <c r="I8" s="77">
        <f>'08'!AD11</f>
        <v>0.45833333333333331</v>
      </c>
      <c r="J8" s="77"/>
      <c r="K8" s="77">
        <f>'10'!AD11</f>
        <v>0</v>
      </c>
      <c r="L8" s="77">
        <f>'11'!AD11+'11'!AD12</f>
        <v>0.66666666666666674</v>
      </c>
      <c r="M8" s="77">
        <f>'12'!AD11</f>
        <v>1</v>
      </c>
      <c r="N8" s="77">
        <f>'13'!AD12</f>
        <v>0.83333333333333337</v>
      </c>
      <c r="O8" s="77">
        <f>'14'!AD12</f>
        <v>0.33333333333333331</v>
      </c>
      <c r="P8" s="77">
        <f>'15'!AD11</f>
        <v>0.91666666666666663</v>
      </c>
      <c r="Q8" s="77"/>
      <c r="R8" s="77">
        <f>'17'!AD11</f>
        <v>1</v>
      </c>
      <c r="S8" s="77">
        <f>'18'!AD11</f>
        <v>0</v>
      </c>
      <c r="T8" s="77">
        <f>'19'!AD11+'19'!AD12</f>
        <v>0.91666666666666663</v>
      </c>
      <c r="U8" s="77">
        <f>'20'!AD11+'20'!AD12</f>
        <v>0.91666666666666663</v>
      </c>
      <c r="V8" s="77">
        <f>'21'!AD11</f>
        <v>0.625</v>
      </c>
      <c r="W8" s="77">
        <f>'22'!AD11</f>
        <v>1</v>
      </c>
      <c r="X8" s="77">
        <f>'23'!AD11</f>
        <v>0.45833333333333331</v>
      </c>
      <c r="Y8" s="77">
        <f>'24'!AD11</f>
        <v>1</v>
      </c>
      <c r="Z8" s="77">
        <f>'25'!AD11</f>
        <v>0</v>
      </c>
      <c r="AA8" s="77">
        <f>'26'!AD11</f>
        <v>0</v>
      </c>
      <c r="AB8" s="77">
        <f>'27'!AD11</f>
        <v>0.95833333333333337</v>
      </c>
      <c r="AC8" s="77">
        <f>'28'!AD12+'28'!AD13</f>
        <v>0.79166666666666674</v>
      </c>
      <c r="AD8" s="77">
        <f>'29'!AD11</f>
        <v>0.83333333333333337</v>
      </c>
      <c r="AE8" s="77">
        <f>'30'!AD11</f>
        <v>0</v>
      </c>
      <c r="AF8" s="78">
        <f>'31'!AD11</f>
        <v>0</v>
      </c>
      <c r="AG8" s="79">
        <f t="shared" si="0"/>
        <v>0.48252688172043012</v>
      </c>
    </row>
    <row r="9" spans="1:33" ht="21.75" customHeight="1">
      <c r="A9" s="101" t="s">
        <v>66</v>
      </c>
      <c r="B9" s="98">
        <f>'01'!AD12</f>
        <v>1</v>
      </c>
      <c r="C9" s="98"/>
      <c r="D9" s="77">
        <f>'03'!AD12</f>
        <v>1</v>
      </c>
      <c r="E9" s="77">
        <f>'04'!AD12</f>
        <v>1</v>
      </c>
      <c r="F9" s="77">
        <f>'05'!AD12</f>
        <v>1</v>
      </c>
      <c r="G9" s="77">
        <f>'06'!AD12</f>
        <v>1</v>
      </c>
      <c r="H9" s="77">
        <f>'07'!AD12</f>
        <v>1</v>
      </c>
      <c r="I9" s="77">
        <f>'08'!AD12</f>
        <v>1</v>
      </c>
      <c r="J9" s="77"/>
      <c r="K9" s="77">
        <f>'10'!AD12</f>
        <v>1</v>
      </c>
      <c r="L9" s="77">
        <f>'11'!AD13</f>
        <v>1</v>
      </c>
      <c r="M9" s="77">
        <f>'12'!AD12</f>
        <v>1</v>
      </c>
      <c r="N9" s="77">
        <f>'13'!AD13</f>
        <v>0.54166666666666663</v>
      </c>
      <c r="O9" s="77">
        <f>'14'!AD13</f>
        <v>1</v>
      </c>
      <c r="P9" s="77">
        <f>'15'!AD12</f>
        <v>0.16666666666666666</v>
      </c>
      <c r="Q9" s="77"/>
      <c r="R9" s="77">
        <f>'17'!AD12</f>
        <v>0</v>
      </c>
      <c r="S9" s="77">
        <f>'18'!AD12</f>
        <v>0.875</v>
      </c>
      <c r="T9" s="77">
        <f>'19'!AD13</f>
        <v>1</v>
      </c>
      <c r="U9" s="77">
        <f>'20'!AD13</f>
        <v>0.20833333333333334</v>
      </c>
      <c r="V9" s="77">
        <f>'21'!AD12</f>
        <v>0</v>
      </c>
      <c r="W9" s="77">
        <f>'22'!AD12</f>
        <v>0</v>
      </c>
      <c r="X9" s="77">
        <f>'23'!AD12</f>
        <v>0</v>
      </c>
      <c r="Y9" s="77">
        <f>'24'!AD12</f>
        <v>0</v>
      </c>
      <c r="Z9" s="77">
        <f>'25'!AD12</f>
        <v>0</v>
      </c>
      <c r="AA9" s="77">
        <f>'26'!AD12</f>
        <v>0.45833333333333331</v>
      </c>
      <c r="AB9" s="77">
        <f>'27'!AD12</f>
        <v>1</v>
      </c>
      <c r="AC9" s="77">
        <f>'28'!AD14</f>
        <v>0.91666666666666663</v>
      </c>
      <c r="AD9" s="77">
        <f>'29'!AD12</f>
        <v>0.16666666666666666</v>
      </c>
      <c r="AE9" s="77">
        <f>'30'!AD12</f>
        <v>0.25</v>
      </c>
      <c r="AF9" s="78">
        <f>'31'!AD12</f>
        <v>0.33333333333333331</v>
      </c>
      <c r="AG9" s="79">
        <f t="shared" si="0"/>
        <v>0.54569892473118287</v>
      </c>
    </row>
    <row r="10" spans="1:33" ht="21.75" customHeight="1">
      <c r="A10" s="101" t="s">
        <v>67</v>
      </c>
      <c r="B10" s="98">
        <f>'01'!AD13</f>
        <v>0</v>
      </c>
      <c r="C10" s="98"/>
      <c r="D10" s="77">
        <f>'03'!AD13</f>
        <v>0</v>
      </c>
      <c r="E10" s="77">
        <f>'04'!AD13</f>
        <v>0</v>
      </c>
      <c r="F10" s="77">
        <f>'05'!AD13</f>
        <v>0</v>
      </c>
      <c r="G10" s="77">
        <f>'06'!AD13</f>
        <v>0</v>
      </c>
      <c r="H10" s="77">
        <f>'07'!AD13</f>
        <v>0.625</v>
      </c>
      <c r="I10" s="77">
        <f>'08'!AD13</f>
        <v>1</v>
      </c>
      <c r="J10" s="77"/>
      <c r="K10" s="77">
        <f>'10'!AD13</f>
        <v>1</v>
      </c>
      <c r="L10" s="77">
        <f>'11'!AD14</f>
        <v>1</v>
      </c>
      <c r="M10" s="77">
        <f>'12'!AD13</f>
        <v>1</v>
      </c>
      <c r="N10" s="77">
        <f>'13'!AD14</f>
        <v>1</v>
      </c>
      <c r="O10" s="77">
        <f>'14'!AD14</f>
        <v>1</v>
      </c>
      <c r="P10" s="77">
        <f>'15'!AD13</f>
        <v>1</v>
      </c>
      <c r="Q10" s="77"/>
      <c r="R10" s="77">
        <f>'17'!AD13</f>
        <v>1</v>
      </c>
      <c r="S10" s="77">
        <f>'18'!AD13</f>
        <v>1</v>
      </c>
      <c r="T10" s="77">
        <f>'19'!AD14</f>
        <v>1</v>
      </c>
      <c r="U10" s="77">
        <f>'20'!AD14</f>
        <v>0.875</v>
      </c>
      <c r="V10" s="77">
        <f>'21'!AD13</f>
        <v>1</v>
      </c>
      <c r="W10" s="77">
        <f>'22'!AD13</f>
        <v>1</v>
      </c>
      <c r="X10" s="77">
        <f>'23'!AD13</f>
        <v>0.45833333333333331</v>
      </c>
      <c r="Y10" s="77">
        <f>'24'!AD13</f>
        <v>1</v>
      </c>
      <c r="Z10" s="77">
        <f>'25'!AD13</f>
        <v>0.91666666666666663</v>
      </c>
      <c r="AA10" s="77">
        <f>'26'!AD13</f>
        <v>0.95833333333333337</v>
      </c>
      <c r="AB10" s="77">
        <f>'27'!AD13</f>
        <v>0.95833333333333337</v>
      </c>
      <c r="AC10" s="77">
        <f>'28'!AD14</f>
        <v>0.91666666666666663</v>
      </c>
      <c r="AD10" s="77">
        <f>'29'!AD13</f>
        <v>1</v>
      </c>
      <c r="AE10" s="77">
        <f>'30'!AD13</f>
        <v>0</v>
      </c>
      <c r="AF10" s="78">
        <f>'31'!AD13</f>
        <v>0.95833333333333337</v>
      </c>
      <c r="AG10" s="79">
        <f t="shared" si="0"/>
        <v>0.66666666666666663</v>
      </c>
    </row>
    <row r="11" spans="1:33" ht="21.75" customHeight="1">
      <c r="A11" s="106" t="s">
        <v>68</v>
      </c>
      <c r="B11" s="107">
        <f>'01'!AD14</f>
        <v>0.25</v>
      </c>
      <c r="C11" s="107"/>
      <c r="D11" s="108">
        <f>'03'!AD14</f>
        <v>0.54166666666666663</v>
      </c>
      <c r="E11" s="108">
        <f>'04'!AD14</f>
        <v>0</v>
      </c>
      <c r="F11" s="108">
        <f>'05'!AD14</f>
        <v>0</v>
      </c>
      <c r="G11" s="108">
        <f>'06'!AD14</f>
        <v>0</v>
      </c>
      <c r="H11" s="108">
        <f>'07'!AD14</f>
        <v>0</v>
      </c>
      <c r="I11" s="108">
        <f>'08'!AD14</f>
        <v>0</v>
      </c>
      <c r="J11" s="108"/>
      <c r="K11" s="108">
        <f>'10'!AD14</f>
        <v>0</v>
      </c>
      <c r="L11" s="108">
        <f>'11'!AD15</f>
        <v>0</v>
      </c>
      <c r="M11" s="108">
        <f>'12'!AD14</f>
        <v>0</v>
      </c>
      <c r="N11" s="108">
        <f>'13'!AD15</f>
        <v>0</v>
      </c>
      <c r="O11" s="108">
        <f>'14'!AD15</f>
        <v>0</v>
      </c>
      <c r="P11" s="108">
        <f>'15'!AD14</f>
        <v>0</v>
      </c>
      <c r="Q11" s="108"/>
      <c r="R11" s="108">
        <f>'17'!AD14</f>
        <v>0</v>
      </c>
      <c r="S11" s="108">
        <f>'18'!AD14</f>
        <v>0</v>
      </c>
      <c r="T11" s="108">
        <f>'19'!AD15</f>
        <v>0</v>
      </c>
      <c r="U11" s="108">
        <f>'20'!AD15</f>
        <v>0</v>
      </c>
      <c r="V11" s="108">
        <f>'21'!AD14</f>
        <v>0.25</v>
      </c>
      <c r="W11" s="108">
        <f>'22'!AD14</f>
        <v>0</v>
      </c>
      <c r="X11" s="108">
        <f>'23'!AD14</f>
        <v>0</v>
      </c>
      <c r="Y11" s="108">
        <f>'24'!AD14</f>
        <v>0</v>
      </c>
      <c r="Z11" s="108">
        <f>'25'!AD14</f>
        <v>0</v>
      </c>
      <c r="AA11" s="108">
        <f>'26'!AD14</f>
        <v>0</v>
      </c>
      <c r="AB11" s="108">
        <f>'27'!AD14</f>
        <v>0</v>
      </c>
      <c r="AC11" s="108">
        <f>'28'!AD15</f>
        <v>0</v>
      </c>
      <c r="AD11" s="108">
        <f>'29'!AD14</f>
        <v>0</v>
      </c>
      <c r="AE11" s="108">
        <f>'30'!AD14</f>
        <v>0</v>
      </c>
      <c r="AF11" s="109">
        <f>'31'!AD14</f>
        <v>0</v>
      </c>
      <c r="AG11" s="110">
        <f t="shared" si="0"/>
        <v>3.3602150537634407E-2</v>
      </c>
    </row>
    <row r="12" spans="1:33" ht="21.75" customHeight="1">
      <c r="A12" s="100" t="s">
        <v>69</v>
      </c>
      <c r="B12" s="97">
        <f>'01'!AD15</f>
        <v>0</v>
      </c>
      <c r="C12" s="97"/>
      <c r="D12" s="74">
        <f>'03'!AD15</f>
        <v>0</v>
      </c>
      <c r="E12" s="74">
        <f>'04'!AD15</f>
        <v>0</v>
      </c>
      <c r="F12" s="74">
        <f>'05'!AD15</f>
        <v>0</v>
      </c>
      <c r="G12" s="74">
        <f>'06'!AD15</f>
        <v>0</v>
      </c>
      <c r="H12" s="74">
        <f>'07'!AD15</f>
        <v>0</v>
      </c>
      <c r="I12" s="74">
        <f>'08'!AD15</f>
        <v>0</v>
      </c>
      <c r="J12" s="74"/>
      <c r="K12" s="74">
        <f>'10'!AD15</f>
        <v>0</v>
      </c>
      <c r="L12" s="74">
        <f>'11'!AD16</f>
        <v>0</v>
      </c>
      <c r="M12" s="74">
        <f>'12'!AD15</f>
        <v>0</v>
      </c>
      <c r="N12" s="74">
        <f>'13'!AD16</f>
        <v>0</v>
      </c>
      <c r="O12" s="74">
        <f>'14'!AD16</f>
        <v>0</v>
      </c>
      <c r="P12" s="74">
        <f>'15'!AD15</f>
        <v>0</v>
      </c>
      <c r="Q12" s="74"/>
      <c r="R12" s="74">
        <f>'17'!AD15</f>
        <v>0</v>
      </c>
      <c r="S12" s="74">
        <f>'18'!AD15</f>
        <v>0</v>
      </c>
      <c r="T12" s="74">
        <f>'19'!AD16</f>
        <v>0</v>
      </c>
      <c r="U12" s="74">
        <f>'20'!AD16</f>
        <v>0</v>
      </c>
      <c r="V12" s="74">
        <f>'21'!AD15</f>
        <v>0</v>
      </c>
      <c r="W12" s="74">
        <f>'22'!AD15</f>
        <v>0</v>
      </c>
      <c r="X12" s="74">
        <f>'23'!AD15</f>
        <v>0</v>
      </c>
      <c r="Y12" s="74">
        <f>'24'!AD15</f>
        <v>0</v>
      </c>
      <c r="Z12" s="74">
        <f>'25'!AD15</f>
        <v>0</v>
      </c>
      <c r="AA12" s="74">
        <f>'26'!AD15</f>
        <v>0.79166666666666663</v>
      </c>
      <c r="AB12" s="74">
        <f>'27'!AD15</f>
        <v>1</v>
      </c>
      <c r="AC12" s="74">
        <f>'28'!AD16</f>
        <v>1</v>
      </c>
      <c r="AD12" s="74">
        <f>'29'!AD15</f>
        <v>0</v>
      </c>
      <c r="AE12" s="74">
        <f>'30'!AD15</f>
        <v>0</v>
      </c>
      <c r="AF12" s="75">
        <f>'31'!AD15</f>
        <v>0</v>
      </c>
      <c r="AG12" s="76">
        <f t="shared" si="0"/>
        <v>9.0053763440860204E-2</v>
      </c>
    </row>
    <row r="13" spans="1:33" ht="21.75" customHeight="1">
      <c r="A13" s="101" t="s">
        <v>70</v>
      </c>
      <c r="B13" s="98">
        <f>'01'!AD16</f>
        <v>1</v>
      </c>
      <c r="C13" s="98"/>
      <c r="D13" s="77">
        <f>'03'!AD16</f>
        <v>0.875</v>
      </c>
      <c r="E13" s="77">
        <f>'04'!AD16</f>
        <v>1</v>
      </c>
      <c r="F13" s="77">
        <f>'05'!AD16</f>
        <v>1</v>
      </c>
      <c r="G13" s="77">
        <f>'06'!AD16</f>
        <v>0.95833333333333337</v>
      </c>
      <c r="H13" s="77">
        <f>'07'!AD16</f>
        <v>0.70833333333333337</v>
      </c>
      <c r="I13" s="77">
        <f>'08'!AD16</f>
        <v>0.83333333333333337</v>
      </c>
      <c r="J13" s="77"/>
      <c r="K13" s="77">
        <f>'10'!AD16</f>
        <v>0</v>
      </c>
      <c r="L13" s="77">
        <f>'11'!AD17</f>
        <v>0.83333333333333337</v>
      </c>
      <c r="M13" s="77">
        <f>'12'!AD16+'12'!AD17</f>
        <v>0.625</v>
      </c>
      <c r="N13" s="77">
        <f>'13'!AD17</f>
        <v>0.83333333333333337</v>
      </c>
      <c r="O13" s="77">
        <f>'14'!AD17</f>
        <v>0.79166666666666663</v>
      </c>
      <c r="P13" s="77">
        <f>'15'!AD16</f>
        <v>0.875</v>
      </c>
      <c r="Q13" s="77"/>
      <c r="R13" s="77">
        <f>'17'!AD16</f>
        <v>0.625</v>
      </c>
      <c r="S13" s="77">
        <f>'18'!AD16</f>
        <v>0.75</v>
      </c>
      <c r="T13" s="77">
        <f>'19'!AD17</f>
        <v>0</v>
      </c>
      <c r="U13" s="77">
        <f>'20'!AD17</f>
        <v>1</v>
      </c>
      <c r="V13" s="77">
        <f>'21'!AD16</f>
        <v>1</v>
      </c>
      <c r="W13" s="77">
        <f>'22'!AD16</f>
        <v>1</v>
      </c>
      <c r="X13" s="77">
        <f>'23'!AD16</f>
        <v>0.45833333333333331</v>
      </c>
      <c r="Y13" s="77">
        <f>'24'!AD16</f>
        <v>1</v>
      </c>
      <c r="Z13" s="77">
        <f>'25'!AD16</f>
        <v>1</v>
      </c>
      <c r="AA13" s="77">
        <f>'26'!AD16+'26'!AD17</f>
        <v>0.95833333333333337</v>
      </c>
      <c r="AB13" s="77">
        <f>'27'!AD16</f>
        <v>1</v>
      </c>
      <c r="AC13" s="77">
        <f>'28'!AD17</f>
        <v>1</v>
      </c>
      <c r="AD13" s="77">
        <f>'29'!AD16</f>
        <v>1</v>
      </c>
      <c r="AE13" s="77">
        <f>'30'!AD16</f>
        <v>0.20833333333333334</v>
      </c>
      <c r="AF13" s="78">
        <f>'31'!AD16</f>
        <v>0.33333333333333331</v>
      </c>
      <c r="AG13" s="79">
        <f t="shared" si="0"/>
        <v>0.69892473118279552</v>
      </c>
    </row>
    <row r="14" spans="1:33" ht="21.75" customHeight="1">
      <c r="A14" s="100" t="s">
        <v>71</v>
      </c>
      <c r="B14" s="97">
        <f>'01'!AD17</f>
        <v>0</v>
      </c>
      <c r="C14" s="97"/>
      <c r="D14" s="74">
        <f>'03'!AD17</f>
        <v>0</v>
      </c>
      <c r="E14" s="74">
        <f>'04'!AD17</f>
        <v>1</v>
      </c>
      <c r="F14" s="74">
        <f>'05'!AD17+'05'!AD18</f>
        <v>0.91666666666666674</v>
      </c>
      <c r="G14" s="74">
        <f>'06'!AD17</f>
        <v>1</v>
      </c>
      <c r="H14" s="74">
        <f>'07'!AD17</f>
        <v>1</v>
      </c>
      <c r="I14" s="74">
        <f>'08'!AD17</f>
        <v>0</v>
      </c>
      <c r="J14" s="74"/>
      <c r="K14" s="74">
        <f>'10'!AD17</f>
        <v>0.83333333333333337</v>
      </c>
      <c r="L14" s="74">
        <f>'11'!AD18</f>
        <v>1</v>
      </c>
      <c r="M14" s="74">
        <f>'12'!AD18</f>
        <v>1</v>
      </c>
      <c r="N14" s="74">
        <f>'13'!AD18</f>
        <v>1</v>
      </c>
      <c r="O14" s="74">
        <f>'14'!AD18</f>
        <v>1</v>
      </c>
      <c r="P14" s="74">
        <f>'15'!AD17</f>
        <v>1</v>
      </c>
      <c r="Q14" s="74"/>
      <c r="R14" s="74">
        <f>'17'!AD17</f>
        <v>1</v>
      </c>
      <c r="S14" s="74">
        <f>'18'!AD17</f>
        <v>1</v>
      </c>
      <c r="T14" s="74">
        <f>'19'!AD18</f>
        <v>0.54166666666666663</v>
      </c>
      <c r="U14" s="74">
        <f>'20'!AD18+'20'!AD19</f>
        <v>0.91666666666666674</v>
      </c>
      <c r="V14" s="74">
        <f>'21'!AD17</f>
        <v>1</v>
      </c>
      <c r="W14" s="74">
        <f>'22'!AD17+'22'!AD18</f>
        <v>0.875</v>
      </c>
      <c r="X14" s="74">
        <f>'23'!AD17</f>
        <v>0.45833333333333331</v>
      </c>
      <c r="Y14" s="74">
        <f>'24'!AD17</f>
        <v>0.58333333333333337</v>
      </c>
      <c r="Z14" s="74">
        <f>'25'!AD17</f>
        <v>0.83333333333333337</v>
      </c>
      <c r="AA14" s="74">
        <f>'26'!AD18</f>
        <v>1</v>
      </c>
      <c r="AB14" s="74">
        <f>'27'!AD17</f>
        <v>0.45833333333333331</v>
      </c>
      <c r="AC14" s="74">
        <f>'28'!AD18</f>
        <v>0.5</v>
      </c>
      <c r="AD14" s="74">
        <f>'29'!AD17</f>
        <v>1</v>
      </c>
      <c r="AE14" s="74">
        <f>'30'!AD17</f>
        <v>0.45833333333333331</v>
      </c>
      <c r="AF14" s="75">
        <f>'31'!AD17</f>
        <v>1</v>
      </c>
      <c r="AG14" s="76">
        <f t="shared" si="0"/>
        <v>0.6895161290322579</v>
      </c>
    </row>
    <row r="15" spans="1:33" ht="21.75" customHeight="1">
      <c r="A15" s="101" t="s">
        <v>72</v>
      </c>
      <c r="B15" s="98">
        <f>'01'!AD18</f>
        <v>0.95833333333333337</v>
      </c>
      <c r="C15" s="98"/>
      <c r="D15" s="77">
        <f>'03'!AD18</f>
        <v>1</v>
      </c>
      <c r="E15" s="77">
        <f>'04'!AD18</f>
        <v>1</v>
      </c>
      <c r="F15" s="77">
        <f>'05'!AD19</f>
        <v>1</v>
      </c>
      <c r="G15" s="77">
        <f>'06'!AD18</f>
        <v>1</v>
      </c>
      <c r="H15" s="77">
        <f>'07'!AD18</f>
        <v>1</v>
      </c>
      <c r="I15" s="77">
        <f>'08'!AD18</f>
        <v>0.91666666666666663</v>
      </c>
      <c r="J15" s="77"/>
      <c r="K15" s="77">
        <f>'10'!AD18</f>
        <v>1</v>
      </c>
      <c r="L15" s="77">
        <f>'11'!AD19</f>
        <v>1</v>
      </c>
      <c r="M15" s="77">
        <f>'12'!AD19</f>
        <v>1</v>
      </c>
      <c r="N15" s="77">
        <f>'13'!AD19</f>
        <v>1</v>
      </c>
      <c r="O15" s="77">
        <f>'14'!AD19</f>
        <v>0</v>
      </c>
      <c r="P15" s="77">
        <f>'15'!AD18</f>
        <v>0.91666666666666663</v>
      </c>
      <c r="Q15" s="77"/>
      <c r="R15" s="77">
        <f>'17'!AD18</f>
        <v>0.66882906260136221</v>
      </c>
      <c r="S15" s="77">
        <f>'18'!AD18</f>
        <v>1</v>
      </c>
      <c r="T15" s="77">
        <f>'19'!AD19</f>
        <v>0.75</v>
      </c>
      <c r="U15" s="77">
        <f>'20'!AD20</f>
        <v>1</v>
      </c>
      <c r="V15" s="77">
        <f>'21'!AD18</f>
        <v>1</v>
      </c>
      <c r="W15" s="77">
        <f>'22'!AD19</f>
        <v>0.66666666666666663</v>
      </c>
      <c r="X15" s="77">
        <f>'23'!AD18</f>
        <v>0.375</v>
      </c>
      <c r="Y15" s="77">
        <f>'24'!AD18</f>
        <v>1</v>
      </c>
      <c r="Z15" s="77">
        <f>'25'!AD18</f>
        <v>1</v>
      </c>
      <c r="AA15" s="77">
        <f>'26'!AD19</f>
        <v>0.29166666666666669</v>
      </c>
      <c r="AB15" s="77">
        <f>'27'!AD18</f>
        <v>0</v>
      </c>
      <c r="AC15" s="77">
        <f>'28'!AD19</f>
        <v>0.75</v>
      </c>
      <c r="AD15" s="77">
        <f>'29'!AD18</f>
        <v>1</v>
      </c>
      <c r="AE15" s="77">
        <f>'30'!AD18</f>
        <v>0</v>
      </c>
      <c r="AF15" s="78">
        <f>'31'!AD18</f>
        <v>0.45833333333333331</v>
      </c>
      <c r="AG15" s="79">
        <f t="shared" si="0"/>
        <v>0.70168265793337736</v>
      </c>
    </row>
    <row r="16" spans="1:33" ht="21.75" customHeight="1">
      <c r="A16" s="101" t="s">
        <v>117</v>
      </c>
      <c r="B16" s="98">
        <f>'01'!AD19</f>
        <v>0.58333333333333337</v>
      </c>
      <c r="C16" s="98"/>
      <c r="D16" s="77">
        <f>'03'!AD19</f>
        <v>0.16666666666666666</v>
      </c>
      <c r="E16" s="77">
        <f>'04'!AD19</f>
        <v>0</v>
      </c>
      <c r="F16" s="77">
        <f>'05'!AD20</f>
        <v>0.41666666666666669</v>
      </c>
      <c r="G16" s="77">
        <f>'06'!AD19</f>
        <v>0.58333333333333337</v>
      </c>
      <c r="H16" s="77">
        <f>'07'!AD19</f>
        <v>0.66666666666666663</v>
      </c>
      <c r="I16" s="77">
        <f>'08'!AD19</f>
        <v>1</v>
      </c>
      <c r="J16" s="77"/>
      <c r="K16" s="77">
        <f>'10'!AD19</f>
        <v>0</v>
      </c>
      <c r="L16" s="77">
        <f>'11'!AD20</f>
        <v>0.66666666666666663</v>
      </c>
      <c r="M16" s="77">
        <f>'12'!AD20+'12'!AD21</f>
        <v>0.91666666666666663</v>
      </c>
      <c r="N16" s="77">
        <f>'13'!AD20</f>
        <v>1</v>
      </c>
      <c r="O16" s="77">
        <f>'14'!AD20+'14'!AD21</f>
        <v>0.91666666666666663</v>
      </c>
      <c r="P16" s="77">
        <f>'15'!AD19</f>
        <v>0.83333333333333337</v>
      </c>
      <c r="Q16" s="77"/>
      <c r="R16" s="77">
        <f>'17'!AD19</f>
        <v>0.75</v>
      </c>
      <c r="S16" s="77">
        <f>'18'!AD19</f>
        <v>0.58333333333333337</v>
      </c>
      <c r="T16" s="77">
        <f>'19'!AD20</f>
        <v>0.58333333333333337</v>
      </c>
      <c r="U16" s="77">
        <f>'20'!AD21</f>
        <v>0</v>
      </c>
      <c r="V16" s="77">
        <f>'21'!AD19</f>
        <v>0.75</v>
      </c>
      <c r="W16" s="77">
        <f>'22'!AD20</f>
        <v>1</v>
      </c>
      <c r="X16" s="77">
        <f>'23'!AD19</f>
        <v>0</v>
      </c>
      <c r="Y16" s="77">
        <f>'24'!AD19</f>
        <v>0.41666666666666669</v>
      </c>
      <c r="Z16" s="77">
        <f>'25'!AD19</f>
        <v>0.95833333333333337</v>
      </c>
      <c r="AA16" s="77">
        <f>'26'!AD20</f>
        <v>0.91666666666666663</v>
      </c>
      <c r="AB16" s="77">
        <f>'27'!AD19</f>
        <v>0.66666666666666663</v>
      </c>
      <c r="AC16" s="77">
        <f>'28'!AD20</f>
        <v>1</v>
      </c>
      <c r="AD16" s="77">
        <f>'29'!AD19</f>
        <v>0.95833333333333337</v>
      </c>
      <c r="AE16" s="77">
        <f>'30'!AD19</f>
        <v>0.45833333333333331</v>
      </c>
      <c r="AF16" s="78">
        <f>'31'!AD19</f>
        <v>1</v>
      </c>
      <c r="AG16" s="79">
        <f t="shared" si="0"/>
        <v>0.57392473118279563</v>
      </c>
    </row>
    <row r="17" spans="1:33" ht="21.75" customHeight="1">
      <c r="A17" s="101" t="s">
        <v>118</v>
      </c>
      <c r="B17" s="98">
        <f>'01'!AD20</f>
        <v>1</v>
      </c>
      <c r="C17" s="98"/>
      <c r="D17" s="77">
        <f>'03'!AD20</f>
        <v>1</v>
      </c>
      <c r="E17" s="77">
        <f>'04'!AD20</f>
        <v>1</v>
      </c>
      <c r="F17" s="77">
        <f>'05'!AD21</f>
        <v>1</v>
      </c>
      <c r="G17" s="77">
        <f>'06'!AD20</f>
        <v>1</v>
      </c>
      <c r="H17" s="77">
        <f>'07'!AD20</f>
        <v>1</v>
      </c>
      <c r="I17" s="77">
        <f>'08'!AD20</f>
        <v>1</v>
      </c>
      <c r="J17" s="77"/>
      <c r="K17" s="77">
        <f>'10'!AD20</f>
        <v>1</v>
      </c>
      <c r="L17" s="77">
        <f>'11'!AD21</f>
        <v>1</v>
      </c>
      <c r="M17" s="77">
        <f>'12'!AD22</f>
        <v>1</v>
      </c>
      <c r="N17" s="77">
        <f>'13'!AD21</f>
        <v>1</v>
      </c>
      <c r="O17" s="77">
        <f>'14'!AD22</f>
        <v>0.95833333333333337</v>
      </c>
      <c r="P17" s="77">
        <f>'15'!AD20</f>
        <v>1</v>
      </c>
      <c r="Q17" s="77"/>
      <c r="R17" s="77">
        <f>'17'!AD20</f>
        <v>1</v>
      </c>
      <c r="S17" s="77">
        <f>'18'!AD20</f>
        <v>0</v>
      </c>
      <c r="T17" s="77">
        <f>'19'!AD21</f>
        <v>0.83333333333333337</v>
      </c>
      <c r="U17" s="77">
        <f>'20'!AD22</f>
        <v>0.875</v>
      </c>
      <c r="V17" s="77">
        <f>'21'!AD20</f>
        <v>0.66666666666666663</v>
      </c>
      <c r="W17" s="77">
        <f>'22'!AD21</f>
        <v>0.91666666666666663</v>
      </c>
      <c r="X17" s="77">
        <f>'23'!AD20</f>
        <v>0.20833333333333334</v>
      </c>
      <c r="Y17" s="77">
        <f>'24'!AD20</f>
        <v>1</v>
      </c>
      <c r="Z17" s="77">
        <f>'25'!AD20</f>
        <v>0.83333333333333337</v>
      </c>
      <c r="AA17" s="77">
        <f>'26'!AD21</f>
        <v>0.875</v>
      </c>
      <c r="AB17" s="77">
        <f>'27'!AD20</f>
        <v>1</v>
      </c>
      <c r="AC17" s="77">
        <f>'28'!AD21</f>
        <v>0.95833333333333337</v>
      </c>
      <c r="AD17" s="77">
        <f>'29'!AD20</f>
        <v>1</v>
      </c>
      <c r="AE17" s="77">
        <f>'30'!AD20</f>
        <v>0.33333333333333331</v>
      </c>
      <c r="AF17" s="78">
        <f>'31'!AD20</f>
        <v>1</v>
      </c>
      <c r="AG17" s="79">
        <f t="shared" si="0"/>
        <v>0.78897849462365588</v>
      </c>
    </row>
    <row r="18" spans="1:33" ht="21.75" customHeight="1">
      <c r="A18" s="101" t="s">
        <v>119</v>
      </c>
      <c r="B18" s="98">
        <f>'01'!AD21</f>
        <v>1</v>
      </c>
      <c r="C18" s="98"/>
      <c r="D18" s="77">
        <f>'03'!AD21</f>
        <v>1</v>
      </c>
      <c r="E18" s="77">
        <f>'04'!AD21</f>
        <v>1</v>
      </c>
      <c r="F18" s="77">
        <f>'05'!AD22</f>
        <v>1</v>
      </c>
      <c r="G18" s="77">
        <f>'06'!AD21</f>
        <v>1</v>
      </c>
      <c r="H18" s="77">
        <f>'07'!AD21</f>
        <v>1</v>
      </c>
      <c r="I18" s="77">
        <f>'08'!AD21</f>
        <v>0</v>
      </c>
      <c r="J18" s="77"/>
      <c r="K18" s="77">
        <f>'10'!AD21</f>
        <v>1</v>
      </c>
      <c r="L18" s="77">
        <f>'11'!AD22</f>
        <v>0.54166666666666663</v>
      </c>
      <c r="M18" s="77">
        <f>'12'!AD23</f>
        <v>1</v>
      </c>
      <c r="N18" s="77">
        <f>'13'!AD22</f>
        <v>0.75</v>
      </c>
      <c r="O18" s="77">
        <f>'14'!AD23</f>
        <v>0.95833333333333337</v>
      </c>
      <c r="P18" s="77">
        <f>'15'!AD21</f>
        <v>0</v>
      </c>
      <c r="Q18" s="77"/>
      <c r="R18" s="77">
        <f>'17'!AD21</f>
        <v>1</v>
      </c>
      <c r="S18" s="77">
        <f>'18'!AD21</f>
        <v>1</v>
      </c>
      <c r="T18" s="77">
        <f>'19'!AD22</f>
        <v>1</v>
      </c>
      <c r="U18" s="77">
        <f>'20'!AD23</f>
        <v>1</v>
      </c>
      <c r="V18" s="77">
        <f>'21'!AD21</f>
        <v>1</v>
      </c>
      <c r="W18" s="77">
        <f>'22'!AD22</f>
        <v>0.16666666666666666</v>
      </c>
      <c r="X18" s="77">
        <f>'23'!AD21</f>
        <v>0</v>
      </c>
      <c r="Y18" s="77">
        <f>'24'!AD21</f>
        <v>0.875</v>
      </c>
      <c r="Z18" s="77">
        <f>'25'!AD21</f>
        <v>1.2122191564840363</v>
      </c>
      <c r="AA18" s="77">
        <f>'26'!AD22</f>
        <v>1</v>
      </c>
      <c r="AB18" s="77">
        <f>'27'!AD21</f>
        <v>1</v>
      </c>
      <c r="AC18" s="77">
        <f>'28'!AD22</f>
        <v>1</v>
      </c>
      <c r="AD18" s="77">
        <f>'29'!AD21</f>
        <v>0</v>
      </c>
      <c r="AE18" s="77">
        <f>'30'!AD21</f>
        <v>0</v>
      </c>
      <c r="AF18" s="78">
        <f>'31'!AD21</f>
        <v>1</v>
      </c>
      <c r="AG18" s="79">
        <f t="shared" si="0"/>
        <v>0.69367373623066786</v>
      </c>
    </row>
    <row r="19" spans="1:33" ht="21.75" customHeight="1">
      <c r="A19" s="101" t="s">
        <v>149</v>
      </c>
      <c r="B19" s="98">
        <f>'01'!AD22</f>
        <v>0</v>
      </c>
      <c r="C19" s="98"/>
      <c r="D19" s="77">
        <f>'03'!AD22</f>
        <v>0</v>
      </c>
      <c r="E19" s="77">
        <f>'04'!AD22</f>
        <v>0</v>
      </c>
      <c r="F19" s="77">
        <f>'05'!AD23</f>
        <v>0</v>
      </c>
      <c r="G19" s="77">
        <f>'06'!AD22</f>
        <v>0</v>
      </c>
      <c r="H19" s="77">
        <f>'07'!AD22</f>
        <v>0</v>
      </c>
      <c r="I19" s="77">
        <f>'08'!AD22</f>
        <v>0</v>
      </c>
      <c r="J19" s="77"/>
      <c r="K19" s="77">
        <f>'10'!AD22</f>
        <v>0</v>
      </c>
      <c r="L19" s="77">
        <f>'11'!AD23</f>
        <v>0</v>
      </c>
      <c r="M19" s="77">
        <f>'12'!AD24</f>
        <v>0</v>
      </c>
      <c r="N19" s="77">
        <f>'13'!AD23</f>
        <v>0</v>
      </c>
      <c r="O19" s="77">
        <f>'14'!AD24</f>
        <v>0</v>
      </c>
      <c r="P19" s="77">
        <f>'15'!AD22</f>
        <v>0</v>
      </c>
      <c r="Q19" s="77"/>
      <c r="R19" s="77">
        <f>'17'!AD22</f>
        <v>0</v>
      </c>
      <c r="S19" s="77">
        <f>'18'!AD22</f>
        <v>0</v>
      </c>
      <c r="T19" s="77">
        <f>'19'!AD23</f>
        <v>0</v>
      </c>
      <c r="U19" s="77">
        <f>'20'!AD24</f>
        <v>0</v>
      </c>
      <c r="V19" s="77">
        <f>'21'!AD22</f>
        <v>0</v>
      </c>
      <c r="W19" s="77">
        <f>'22'!AD23</f>
        <v>0</v>
      </c>
      <c r="X19" s="77">
        <f>'23'!AD22</f>
        <v>0</v>
      </c>
      <c r="Y19" s="77">
        <f>'24'!AD22</f>
        <v>0</v>
      </c>
      <c r="Z19" s="77">
        <f>'25'!AD22</f>
        <v>0</v>
      </c>
      <c r="AA19" s="77">
        <f>'26'!AD23</f>
        <v>0</v>
      </c>
      <c r="AB19" s="77">
        <f>'27'!AD22</f>
        <v>0</v>
      </c>
      <c r="AC19" s="77">
        <f>'28'!AD23</f>
        <v>0</v>
      </c>
      <c r="AD19" s="77">
        <f>'29'!AD22</f>
        <v>0</v>
      </c>
      <c r="AE19" s="77">
        <f>'30'!AD22</f>
        <v>0</v>
      </c>
      <c r="AF19" s="78">
        <f>'31'!AD22</f>
        <v>0</v>
      </c>
      <c r="AG19" s="79">
        <f t="shared" si="0"/>
        <v>0</v>
      </c>
    </row>
    <row r="20" spans="1:33" ht="21.75" customHeight="1">
      <c r="A20" s="101" t="s">
        <v>150</v>
      </c>
      <c r="B20" s="98">
        <f>'01'!AD23</f>
        <v>0</v>
      </c>
      <c r="C20" s="98"/>
      <c r="D20" s="77">
        <f>'03'!AD23</f>
        <v>0</v>
      </c>
      <c r="E20" s="77">
        <f>'04'!AD23</f>
        <v>0</v>
      </c>
      <c r="F20" s="77">
        <f>'05'!AD24</f>
        <v>0</v>
      </c>
      <c r="G20" s="77">
        <f>'06'!AD23</f>
        <v>0</v>
      </c>
      <c r="H20" s="77">
        <f>'07'!AD23</f>
        <v>0</v>
      </c>
      <c r="I20" s="77">
        <f>'08'!AD23</f>
        <v>0</v>
      </c>
      <c r="J20" s="77"/>
      <c r="K20" s="77">
        <f>'10'!AD23</f>
        <v>0</v>
      </c>
      <c r="L20" s="77">
        <f>'11'!AD24</f>
        <v>0</v>
      </c>
      <c r="M20" s="77">
        <f>'12'!AD25</f>
        <v>0</v>
      </c>
      <c r="N20" s="77">
        <f>'13'!AD24</f>
        <v>0</v>
      </c>
      <c r="O20" s="77">
        <f>'14'!AD25</f>
        <v>0</v>
      </c>
      <c r="P20" s="77">
        <f>'15'!AD23</f>
        <v>0</v>
      </c>
      <c r="Q20" s="77"/>
      <c r="R20" s="77">
        <f>'17'!AD23</f>
        <v>0</v>
      </c>
      <c r="S20" s="77">
        <f>'18'!AD23</f>
        <v>0</v>
      </c>
      <c r="T20" s="77">
        <f>'19'!AD24</f>
        <v>0</v>
      </c>
      <c r="U20" s="77">
        <f>'20'!AD25</f>
        <v>0</v>
      </c>
      <c r="V20" s="77">
        <f>'21'!AD23</f>
        <v>0</v>
      </c>
      <c r="W20" s="77">
        <f>'22'!AD24</f>
        <v>0</v>
      </c>
      <c r="X20" s="77">
        <f>'23'!AD23</f>
        <v>0</v>
      </c>
      <c r="Y20" s="77">
        <f>'24'!AD23</f>
        <v>0</v>
      </c>
      <c r="Z20" s="77">
        <f>'25'!AD23</f>
        <v>0</v>
      </c>
      <c r="AA20" s="77">
        <f>'26'!AD24</f>
        <v>0</v>
      </c>
      <c r="AB20" s="77">
        <f>'27'!AD23</f>
        <v>0</v>
      </c>
      <c r="AC20" s="77">
        <f>'28'!AD24</f>
        <v>0</v>
      </c>
      <c r="AD20" s="77">
        <f>'29'!AD23</f>
        <v>0</v>
      </c>
      <c r="AE20" s="77">
        <f>'30'!AD23</f>
        <v>0</v>
      </c>
      <c r="AF20" s="78">
        <f>'31'!AD23</f>
        <v>0</v>
      </c>
      <c r="AG20" s="79">
        <f t="shared" si="0"/>
        <v>0</v>
      </c>
    </row>
    <row r="21" spans="1:33" ht="21.75" customHeight="1">
      <c r="A21" s="101" t="s">
        <v>151</v>
      </c>
      <c r="B21" s="98">
        <f>'01'!AD24</f>
        <v>0</v>
      </c>
      <c r="C21" s="98"/>
      <c r="D21" s="77">
        <f>'03'!AD24</f>
        <v>1</v>
      </c>
      <c r="E21" s="77">
        <f>'04'!AD24</f>
        <v>1</v>
      </c>
      <c r="F21" s="77">
        <f>'05'!AD25</f>
        <v>0.5</v>
      </c>
      <c r="G21" s="77">
        <f>'06'!AD24</f>
        <v>0</v>
      </c>
      <c r="H21" s="77">
        <f>'07'!AD24</f>
        <v>0</v>
      </c>
      <c r="I21" s="77">
        <f>'08'!AD24</f>
        <v>0</v>
      </c>
      <c r="J21" s="77"/>
      <c r="K21" s="77">
        <f>'10'!AD24</f>
        <v>0</v>
      </c>
      <c r="L21" s="77">
        <f>'11'!AD25</f>
        <v>0</v>
      </c>
      <c r="M21" s="77">
        <f>'12'!AD26</f>
        <v>0</v>
      </c>
      <c r="N21" s="77">
        <f>'13'!AD25</f>
        <v>0</v>
      </c>
      <c r="O21" s="77">
        <f>'14'!AD26</f>
        <v>0</v>
      </c>
      <c r="P21" s="77">
        <f>'15'!AD24</f>
        <v>0</v>
      </c>
      <c r="Q21" s="77"/>
      <c r="R21" s="77">
        <f>'17'!AD24</f>
        <v>0</v>
      </c>
      <c r="S21" s="77">
        <f>'18'!AD24</f>
        <v>0</v>
      </c>
      <c r="T21" s="77">
        <f>'19'!AD25</f>
        <v>0</v>
      </c>
      <c r="U21" s="77">
        <f>'20'!AD26</f>
        <v>0</v>
      </c>
      <c r="V21" s="77">
        <f>'21'!AD24</f>
        <v>0</v>
      </c>
      <c r="W21" s="77">
        <f>'22'!AD25</f>
        <v>0</v>
      </c>
      <c r="X21" s="77">
        <f>'23'!AD24</f>
        <v>0</v>
      </c>
      <c r="Y21" s="77">
        <f>'24'!AD24</f>
        <v>0</v>
      </c>
      <c r="Z21" s="77">
        <f>'25'!AD24</f>
        <v>0</v>
      </c>
      <c r="AA21" s="77">
        <f>'26'!AD25</f>
        <v>0</v>
      </c>
      <c r="AB21" s="77">
        <f>'27'!AD24</f>
        <v>0</v>
      </c>
      <c r="AC21" s="77">
        <f>'28'!AD25</f>
        <v>0</v>
      </c>
      <c r="AD21" s="77">
        <f>'29'!AD24</f>
        <v>0</v>
      </c>
      <c r="AE21" s="77">
        <f>'30'!AD24</f>
        <v>0</v>
      </c>
      <c r="AF21" s="78">
        <f>'31'!AD24</f>
        <v>0</v>
      </c>
      <c r="AG21" s="79">
        <f t="shared" si="0"/>
        <v>8.0645161290322578E-2</v>
      </c>
    </row>
    <row r="22" spans="1:33" ht="21.75" customHeight="1">
      <c r="A22" s="101" t="s">
        <v>152</v>
      </c>
      <c r="B22" s="98">
        <f>'01'!AD25</f>
        <v>0</v>
      </c>
      <c r="C22" s="98"/>
      <c r="D22" s="77">
        <f>'03'!AD25</f>
        <v>0</v>
      </c>
      <c r="E22" s="77">
        <f>'04'!AD25</f>
        <v>0</v>
      </c>
      <c r="F22" s="77">
        <f>'05'!AD26</f>
        <v>0</v>
      </c>
      <c r="G22" s="77">
        <f>'06'!AD25</f>
        <v>0</v>
      </c>
      <c r="H22" s="77">
        <f>'07'!AD25</f>
        <v>0</v>
      </c>
      <c r="I22" s="77">
        <f>'08'!AD25</f>
        <v>0</v>
      </c>
      <c r="J22" s="77"/>
      <c r="K22" s="77">
        <f>'10'!AD25</f>
        <v>0</v>
      </c>
      <c r="L22" s="77">
        <f>'11'!AD26</f>
        <v>0</v>
      </c>
      <c r="M22" s="77">
        <f>'12'!AD27</f>
        <v>0</v>
      </c>
      <c r="N22" s="77">
        <f>'13'!AD26</f>
        <v>0</v>
      </c>
      <c r="O22" s="77">
        <f>'14'!AD27</f>
        <v>0</v>
      </c>
      <c r="P22" s="77">
        <f>'15'!AD25</f>
        <v>0</v>
      </c>
      <c r="Q22" s="77"/>
      <c r="R22" s="77">
        <f>'17'!AD25</f>
        <v>0</v>
      </c>
      <c r="S22" s="77">
        <f>'18'!AD25</f>
        <v>0</v>
      </c>
      <c r="T22" s="77">
        <f>'19'!AD26</f>
        <v>0</v>
      </c>
      <c r="U22" s="77">
        <f>'20'!AD27</f>
        <v>0</v>
      </c>
      <c r="V22" s="77">
        <f>'21'!AD25</f>
        <v>0</v>
      </c>
      <c r="W22" s="77">
        <f>'22'!AD26</f>
        <v>0</v>
      </c>
      <c r="X22" s="77">
        <f>'23'!AD25</f>
        <v>0</v>
      </c>
      <c r="Y22" s="77">
        <f>'24'!AD25</f>
        <v>0</v>
      </c>
      <c r="Z22" s="77">
        <f>'25'!AD25</f>
        <v>0</v>
      </c>
      <c r="AA22" s="77">
        <f>'26'!AD26</f>
        <v>0</v>
      </c>
      <c r="AB22" s="77">
        <f>'27'!AD25</f>
        <v>0</v>
      </c>
      <c r="AC22" s="77">
        <f>'28'!AD26</f>
        <v>0</v>
      </c>
      <c r="AD22" s="77">
        <f>'29'!AD25</f>
        <v>0</v>
      </c>
      <c r="AE22" s="77">
        <f>'30'!AD25</f>
        <v>0</v>
      </c>
      <c r="AF22" s="78">
        <f>'31'!AD25</f>
        <v>0</v>
      </c>
      <c r="AG22" s="79">
        <f t="shared" si="0"/>
        <v>0</v>
      </c>
    </row>
    <row r="23" spans="1:33" ht="21.75" customHeight="1">
      <c r="A23" s="101" t="s">
        <v>153</v>
      </c>
      <c r="B23" s="98">
        <f>'01'!AD26</f>
        <v>0</v>
      </c>
      <c r="C23" s="98"/>
      <c r="D23" s="77">
        <f>'03'!AD26</f>
        <v>0</v>
      </c>
      <c r="E23" s="77">
        <f>'04'!AD26</f>
        <v>0</v>
      </c>
      <c r="F23" s="77">
        <f>'05'!AD27</f>
        <v>0</v>
      </c>
      <c r="G23" s="77">
        <f>'06'!AD26</f>
        <v>0</v>
      </c>
      <c r="H23" s="77">
        <f>'07'!AD26</f>
        <v>0</v>
      </c>
      <c r="I23" s="77">
        <f>'08'!AD26</f>
        <v>0</v>
      </c>
      <c r="J23" s="77"/>
      <c r="K23" s="77">
        <f>'10'!AD26</f>
        <v>0</v>
      </c>
      <c r="L23" s="77">
        <f>'11'!AD27</f>
        <v>0</v>
      </c>
      <c r="M23" s="77">
        <f>'12'!AD28</f>
        <v>0</v>
      </c>
      <c r="N23" s="77">
        <f>'13'!AD27</f>
        <v>0</v>
      </c>
      <c r="O23" s="77">
        <f>'14'!AD28</f>
        <v>0</v>
      </c>
      <c r="P23" s="77">
        <f>'15'!AD26</f>
        <v>0</v>
      </c>
      <c r="Q23" s="77"/>
      <c r="R23" s="77">
        <f>'17'!AD26</f>
        <v>0</v>
      </c>
      <c r="S23" s="77">
        <f>'18'!AD26</f>
        <v>0</v>
      </c>
      <c r="T23" s="77">
        <f>'19'!AD27</f>
        <v>0</v>
      </c>
      <c r="U23" s="77">
        <f>'20'!AD28</f>
        <v>0</v>
      </c>
      <c r="V23" s="77">
        <f>'21'!AD26</f>
        <v>0</v>
      </c>
      <c r="W23" s="77">
        <f>'22'!AD27</f>
        <v>0</v>
      </c>
      <c r="X23" s="77">
        <f>'23'!AD26</f>
        <v>0</v>
      </c>
      <c r="Y23" s="77">
        <f>'24'!AD26</f>
        <v>0</v>
      </c>
      <c r="Z23" s="77">
        <f>'25'!AD26</f>
        <v>0</v>
      </c>
      <c r="AA23" s="77">
        <f>'26'!AD27</f>
        <v>0</v>
      </c>
      <c r="AB23" s="77">
        <f>'27'!AD26</f>
        <v>0</v>
      </c>
      <c r="AC23" s="77">
        <f>'28'!AD27</f>
        <v>0</v>
      </c>
      <c r="AD23" s="77">
        <f>'29'!AD26</f>
        <v>0</v>
      </c>
      <c r="AE23" s="77">
        <f>'30'!AD26</f>
        <v>0</v>
      </c>
      <c r="AF23" s="78">
        <f>'31'!AD26</f>
        <v>0</v>
      </c>
      <c r="AG23" s="79">
        <f t="shared" si="0"/>
        <v>0</v>
      </c>
    </row>
    <row r="24" spans="1:33" ht="21.75" customHeight="1" thickBot="1">
      <c r="A24" s="102" t="s">
        <v>154</v>
      </c>
      <c r="B24" s="99">
        <f>'01'!AD27</f>
        <v>0</v>
      </c>
      <c r="C24" s="99"/>
      <c r="D24" s="80">
        <f>'03'!AD27</f>
        <v>0</v>
      </c>
      <c r="E24" s="80">
        <f>'04'!AD27</f>
        <v>0</v>
      </c>
      <c r="F24" s="80">
        <f>'05'!AD28</f>
        <v>0</v>
      </c>
      <c r="G24" s="80">
        <f>'06'!AD27</f>
        <v>0</v>
      </c>
      <c r="H24" s="80">
        <f>'07'!AD27</f>
        <v>0</v>
      </c>
      <c r="I24" s="80">
        <f>'08'!AD27</f>
        <v>0</v>
      </c>
      <c r="J24" s="80"/>
      <c r="K24" s="80">
        <f>'10'!AD27</f>
        <v>0</v>
      </c>
      <c r="L24" s="80">
        <f>'11'!AD28</f>
        <v>0</v>
      </c>
      <c r="M24" s="80">
        <f>'12'!AD29</f>
        <v>0</v>
      </c>
      <c r="N24" s="80">
        <f>'13'!AD28</f>
        <v>0</v>
      </c>
      <c r="O24" s="80">
        <f>'14'!AD29</f>
        <v>0</v>
      </c>
      <c r="P24" s="80">
        <f>'15'!AD27</f>
        <v>0</v>
      </c>
      <c r="Q24" s="80"/>
      <c r="R24" s="80">
        <f>'17'!AD27</f>
        <v>0.95833333333333337</v>
      </c>
      <c r="S24" s="80">
        <f>'18'!AD27</f>
        <v>1</v>
      </c>
      <c r="T24" s="80">
        <f>'19'!AD28</f>
        <v>1</v>
      </c>
      <c r="U24" s="80">
        <f>'20'!AD29</f>
        <v>1</v>
      </c>
      <c r="V24" s="80">
        <f>'21'!AD27</f>
        <v>0.375</v>
      </c>
      <c r="W24" s="80">
        <f>'22'!AD28</f>
        <v>0</v>
      </c>
      <c r="X24" s="80">
        <f>'23'!AD27</f>
        <v>0</v>
      </c>
      <c r="Y24" s="80">
        <f>'24'!AD27</f>
        <v>0</v>
      </c>
      <c r="Z24" s="80">
        <f>'25'!AD27</f>
        <v>0</v>
      </c>
      <c r="AA24" s="80">
        <f>'26'!AD28</f>
        <v>0</v>
      </c>
      <c r="AB24" s="80">
        <f>'27'!AD27</f>
        <v>0</v>
      </c>
      <c r="AC24" s="80">
        <f>'28'!AD28</f>
        <v>0</v>
      </c>
      <c r="AD24" s="80">
        <f>'29'!AD27</f>
        <v>0</v>
      </c>
      <c r="AE24" s="80">
        <f>'30'!AD27</f>
        <v>0</v>
      </c>
      <c r="AF24" s="81">
        <f>'31'!AD27</f>
        <v>0</v>
      </c>
      <c r="AG24" s="82">
        <f t="shared" si="0"/>
        <v>0.13978494623655915</v>
      </c>
    </row>
    <row r="25" spans="1:33" s="83" customFormat="1" ht="21.75" customHeight="1">
      <c r="A25" s="87" t="s">
        <v>104</v>
      </c>
      <c r="B25" s="91">
        <f>'01'!AD28</f>
        <v>0.41098484848484845</v>
      </c>
      <c r="C25" s="91"/>
      <c r="D25" s="92">
        <f>'03'!AD28</f>
        <v>0.43181818181818182</v>
      </c>
      <c r="E25" s="92">
        <f>'04'!AD28</f>
        <v>0.44128787878787884</v>
      </c>
      <c r="F25" s="92">
        <f>'05'!AD29</f>
        <v>0.375</v>
      </c>
      <c r="G25" s="92">
        <f>'06'!AD28</f>
        <v>0.44696969696969691</v>
      </c>
      <c r="H25" s="92">
        <f>'07'!AD28</f>
        <v>0.45454545454545453</v>
      </c>
      <c r="I25" s="92">
        <f>'08'!AD28</f>
        <v>0.43560606060606061</v>
      </c>
      <c r="J25" s="92"/>
      <c r="K25" s="92">
        <f>'10'!AD28</f>
        <v>0.375</v>
      </c>
      <c r="L25" s="92">
        <f>'11'!AD29</f>
        <v>0.48550724637681147</v>
      </c>
      <c r="M25" s="92">
        <f>'12'!AD30</f>
        <v>0.50173611111111105</v>
      </c>
      <c r="N25" s="92">
        <f>'13'!AD29</f>
        <v>0.51449275362318836</v>
      </c>
      <c r="O25" s="92">
        <f>'14'!AD30</f>
        <v>0.45312500000000006</v>
      </c>
      <c r="P25" s="92">
        <f>'15'!AD28</f>
        <v>0.40340909090909088</v>
      </c>
      <c r="Q25" s="92"/>
      <c r="R25" s="92">
        <f>'17'!AD28</f>
        <v>0.4224467755727892</v>
      </c>
      <c r="S25" s="92">
        <f>'18'!AD28</f>
        <v>0.44696969696969691</v>
      </c>
      <c r="T25" s="92">
        <f>'19'!AD29</f>
        <v>0.45652173913043476</v>
      </c>
      <c r="U25" s="92">
        <f>'20'!AD30</f>
        <v>0.44444444444444442</v>
      </c>
      <c r="V25" s="92">
        <f>'21'!AD28</f>
        <v>0.52083333333333326</v>
      </c>
      <c r="W25" s="92">
        <f>'22'!AD29</f>
        <v>0.4456521739130434</v>
      </c>
      <c r="X25" s="92">
        <f>'23'!AD28</f>
        <v>0.19318181818181818</v>
      </c>
      <c r="Y25" s="92">
        <f>'24'!AD28</f>
        <v>0.46969696969696972</v>
      </c>
      <c r="Z25" s="92">
        <f>'25'!AD28</f>
        <v>0.4888129919613956</v>
      </c>
      <c r="AA25" s="92">
        <f>'26'!AD29</f>
        <v>0.48369565217391297</v>
      </c>
      <c r="AB25" s="92">
        <f>'27'!AD28</f>
        <v>0.52840909090909094</v>
      </c>
      <c r="AC25" s="92">
        <f>'28'!AD29</f>
        <v>0.58152173913043481</v>
      </c>
      <c r="AD25" s="92">
        <f>'29'!AD28</f>
        <v>0.46969696969696972</v>
      </c>
      <c r="AE25" s="92">
        <f>'30'!AD28</f>
        <v>0.11363636363636363</v>
      </c>
      <c r="AF25" s="93">
        <f>'31'!AD28</f>
        <v>0.40151515151515144</v>
      </c>
      <c r="AG25" s="94">
        <f t="shared" ref="AG25" si="1">SUM(B25:AF25)/30</f>
        <v>0.40655057444993914</v>
      </c>
    </row>
    <row r="26" spans="1:33" ht="21.75" customHeight="1" thickBot="1">
      <c r="A26" s="69" t="s">
        <v>108</v>
      </c>
      <c r="B26" s="70">
        <v>0.62</v>
      </c>
      <c r="C26" s="71">
        <v>0.62</v>
      </c>
      <c r="D26" s="71">
        <v>0.62</v>
      </c>
      <c r="E26" s="71">
        <v>0.62</v>
      </c>
      <c r="F26" s="71">
        <v>0.62</v>
      </c>
      <c r="G26" s="71">
        <v>0.62</v>
      </c>
      <c r="H26" s="71">
        <v>0.62</v>
      </c>
      <c r="I26" s="71">
        <v>0.62</v>
      </c>
      <c r="J26" s="71">
        <v>0.62</v>
      </c>
      <c r="K26" s="71">
        <v>0.62</v>
      </c>
      <c r="L26" s="71">
        <v>0.62</v>
      </c>
      <c r="M26" s="71">
        <v>0.62</v>
      </c>
      <c r="N26" s="71">
        <v>0.62</v>
      </c>
      <c r="O26" s="71">
        <v>0.62</v>
      </c>
      <c r="P26" s="71">
        <v>0.62</v>
      </c>
      <c r="Q26" s="71">
        <v>0.62</v>
      </c>
      <c r="R26" s="71">
        <v>0.62</v>
      </c>
      <c r="S26" s="71">
        <v>0.62</v>
      </c>
      <c r="T26" s="71">
        <v>0.62</v>
      </c>
      <c r="U26" s="71">
        <v>0.62</v>
      </c>
      <c r="V26" s="71">
        <v>0.62</v>
      </c>
      <c r="W26" s="71">
        <v>0.62</v>
      </c>
      <c r="X26" s="71">
        <v>0.62</v>
      </c>
      <c r="Y26" s="71">
        <v>0.62</v>
      </c>
      <c r="Z26" s="71">
        <v>0.62</v>
      </c>
      <c r="AA26" s="71">
        <v>0.62</v>
      </c>
      <c r="AB26" s="71">
        <v>0.62</v>
      </c>
      <c r="AC26" s="71">
        <v>0.62</v>
      </c>
      <c r="AD26" s="71">
        <v>0.62</v>
      </c>
      <c r="AE26" s="71">
        <v>0.62</v>
      </c>
      <c r="AF26" s="72">
        <v>0.62</v>
      </c>
      <c r="AG26" s="73">
        <v>0.62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54511-8E78-4B4E-A377-429B6FE8D21F}">
  <dimension ref="A1:AF93"/>
  <sheetViews>
    <sheetView view="pageBreakPreview" zoomScale="70" zoomScaleNormal="72" zoomScaleSheetLayoutView="70" workbookViewId="0">
      <selection activeCell="F85" sqref="F85:J85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221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165" t="s">
        <v>17</v>
      </c>
      <c r="L5" s="165" t="s">
        <v>18</v>
      </c>
      <c r="M5" s="165" t="s">
        <v>19</v>
      </c>
      <c r="N5" s="16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112</v>
      </c>
      <c r="D6" s="52" t="s">
        <v>127</v>
      </c>
      <c r="E6" s="53" t="s">
        <v>180</v>
      </c>
      <c r="F6" s="30" t="s">
        <v>141</v>
      </c>
      <c r="G6" s="12">
        <v>2</v>
      </c>
      <c r="H6" s="13">
        <v>24</v>
      </c>
      <c r="I6" s="31">
        <v>185000</v>
      </c>
      <c r="J6" s="14">
        <v>11678</v>
      </c>
      <c r="K6" s="15">
        <f>L6+5840+11504+11434+11462+11458+11584+10978</f>
        <v>85938</v>
      </c>
      <c r="L6" s="15">
        <f>2669*2+3170*2</f>
        <v>11678</v>
      </c>
      <c r="M6" s="15">
        <f t="shared" ref="M6:M27" si="0">L6-N6</f>
        <v>11678</v>
      </c>
      <c r="N6" s="15">
        <v>0</v>
      </c>
      <c r="O6" s="58">
        <f t="shared" ref="O6:O28" si="1">IF(L6=0,"0",N6/L6)</f>
        <v>0</v>
      </c>
      <c r="P6" s="39">
        <f t="shared" ref="P6:P27" si="2">IF(L6=0,"0",(24-Q6))</f>
        <v>24</v>
      </c>
      <c r="Q6" s="40">
        <f t="shared" ref="Q6:Q27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27" si="4">IF(J6=0,"0",(L6/J6))</f>
        <v>1</v>
      </c>
      <c r="AC6" s="9">
        <f t="shared" ref="AC6:AC27" si="5">IF(P6=0,"0",(P6/24))</f>
        <v>1</v>
      </c>
      <c r="AD6" s="10">
        <f t="shared" ref="AD6:AD27" si="6">AC6*AB6*(1-O6)</f>
        <v>1</v>
      </c>
      <c r="AE6" s="36">
        <f t="shared" ref="AE6:AE27" si="7">$AD$28</f>
        <v>0.44128787878787884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163</v>
      </c>
      <c r="D7" s="52"/>
      <c r="E7" s="53" t="s">
        <v>185</v>
      </c>
      <c r="F7" s="30" t="s">
        <v>169</v>
      </c>
      <c r="G7" s="12">
        <v>1</v>
      </c>
      <c r="H7" s="13">
        <v>24</v>
      </c>
      <c r="I7" s="31">
        <v>1100</v>
      </c>
      <c r="J7" s="14">
        <v>1500</v>
      </c>
      <c r="K7" s="15">
        <f>L7+1500</f>
        <v>1500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0.44128787878787884</v>
      </c>
      <c r="AF7" s="84">
        <f t="shared" si="8"/>
        <v>2</v>
      </c>
    </row>
    <row r="8" spans="1:32" ht="27" customHeight="1">
      <c r="A8" s="96">
        <v>3</v>
      </c>
      <c r="B8" s="11" t="s">
        <v>57</v>
      </c>
      <c r="C8" s="34" t="s">
        <v>116</v>
      </c>
      <c r="D8" s="52" t="s">
        <v>123</v>
      </c>
      <c r="E8" s="53" t="s">
        <v>170</v>
      </c>
      <c r="F8" s="30" t="s">
        <v>165</v>
      </c>
      <c r="G8" s="12">
        <v>1</v>
      </c>
      <c r="H8" s="13">
        <v>24</v>
      </c>
      <c r="I8" s="7">
        <v>40000</v>
      </c>
      <c r="J8" s="14">
        <v>3874</v>
      </c>
      <c r="K8" s="15">
        <f>L8+3374+6197+4609+3474+6168</f>
        <v>27696</v>
      </c>
      <c r="L8" s="15">
        <f>373+3501</f>
        <v>3874</v>
      </c>
      <c r="M8" s="15">
        <f t="shared" si="0"/>
        <v>3874</v>
      </c>
      <c r="N8" s="15">
        <v>0</v>
      </c>
      <c r="O8" s="58">
        <f t="shared" si="1"/>
        <v>0</v>
      </c>
      <c r="P8" s="39">
        <f t="shared" si="2"/>
        <v>16</v>
      </c>
      <c r="Q8" s="40">
        <f t="shared" si="3"/>
        <v>8</v>
      </c>
      <c r="R8" s="7"/>
      <c r="S8" s="6"/>
      <c r="T8" s="16"/>
      <c r="U8" s="16"/>
      <c r="V8" s="17"/>
      <c r="W8" s="5">
        <v>8</v>
      </c>
      <c r="X8" s="16"/>
      <c r="Y8" s="16"/>
      <c r="Z8" s="16"/>
      <c r="AA8" s="18"/>
      <c r="AB8" s="8">
        <f t="shared" si="4"/>
        <v>1</v>
      </c>
      <c r="AC8" s="9">
        <f t="shared" si="5"/>
        <v>0.66666666666666663</v>
      </c>
      <c r="AD8" s="10">
        <f t="shared" si="6"/>
        <v>0.66666666666666663</v>
      </c>
      <c r="AE8" s="36">
        <f t="shared" si="7"/>
        <v>0.44128787878787884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116</v>
      </c>
      <c r="D9" s="52" t="s">
        <v>115</v>
      </c>
      <c r="E9" s="53" t="s">
        <v>197</v>
      </c>
      <c r="F9" s="30" t="s">
        <v>171</v>
      </c>
      <c r="G9" s="12">
        <v>1</v>
      </c>
      <c r="H9" s="13">
        <v>24</v>
      </c>
      <c r="I9" s="7">
        <v>17000</v>
      </c>
      <c r="J9" s="14">
        <v>2796</v>
      </c>
      <c r="K9" s="15">
        <f>L9+3449</f>
        <v>6245</v>
      </c>
      <c r="L9" s="15">
        <f>281+2515</f>
        <v>2796</v>
      </c>
      <c r="M9" s="15">
        <f t="shared" si="0"/>
        <v>2796</v>
      </c>
      <c r="N9" s="15">
        <v>0</v>
      </c>
      <c r="O9" s="58">
        <f t="shared" si="1"/>
        <v>0</v>
      </c>
      <c r="P9" s="39">
        <f t="shared" si="2"/>
        <v>14</v>
      </c>
      <c r="Q9" s="40">
        <f t="shared" si="3"/>
        <v>10</v>
      </c>
      <c r="R9" s="7"/>
      <c r="S9" s="6">
        <v>10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0.58333333333333337</v>
      </c>
      <c r="AD9" s="10">
        <f t="shared" si="6"/>
        <v>0.58333333333333337</v>
      </c>
      <c r="AE9" s="36">
        <f t="shared" si="7"/>
        <v>0.44128787878787884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163</v>
      </c>
      <c r="D10" s="52"/>
      <c r="E10" s="53" t="s">
        <v>204</v>
      </c>
      <c r="F10" s="30" t="s">
        <v>205</v>
      </c>
      <c r="G10" s="33">
        <v>2</v>
      </c>
      <c r="H10" s="35">
        <v>24</v>
      </c>
      <c r="I10" s="7">
        <v>100000</v>
      </c>
      <c r="J10" s="14">
        <v>10206</v>
      </c>
      <c r="K10" s="15">
        <f>L10</f>
        <v>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>
        <v>24</v>
      </c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6"/>
        <v>0</v>
      </c>
      <c r="AE10" s="36">
        <f t="shared" si="7"/>
        <v>0.44128787878787884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123</v>
      </c>
      <c r="E11" s="53" t="s">
        <v>202</v>
      </c>
      <c r="F11" s="30" t="s">
        <v>128</v>
      </c>
      <c r="G11" s="33">
        <v>1</v>
      </c>
      <c r="H11" s="35">
        <v>24</v>
      </c>
      <c r="I11" s="7">
        <v>17000</v>
      </c>
      <c r="J11" s="14">
        <v>2187</v>
      </c>
      <c r="K11" s="15">
        <f>L11+117</f>
        <v>2304</v>
      </c>
      <c r="L11" s="15">
        <f>493+1694</f>
        <v>2187</v>
      </c>
      <c r="M11" s="15">
        <f t="shared" si="0"/>
        <v>2187</v>
      </c>
      <c r="N11" s="15">
        <v>0</v>
      </c>
      <c r="O11" s="58">
        <f t="shared" si="1"/>
        <v>0</v>
      </c>
      <c r="P11" s="39">
        <f t="shared" si="2"/>
        <v>11</v>
      </c>
      <c r="Q11" s="40">
        <f t="shared" si="3"/>
        <v>13</v>
      </c>
      <c r="R11" s="7"/>
      <c r="S11" s="6">
        <v>13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0.45833333333333331</v>
      </c>
      <c r="AD11" s="10">
        <f t="shared" si="6"/>
        <v>0.45833333333333331</v>
      </c>
      <c r="AE11" s="36">
        <f t="shared" si="7"/>
        <v>0.44128787878787884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116</v>
      </c>
      <c r="D12" s="52" t="s">
        <v>115</v>
      </c>
      <c r="E12" s="53" t="s">
        <v>176</v>
      </c>
      <c r="F12" s="30" t="s">
        <v>148</v>
      </c>
      <c r="G12" s="12">
        <v>1</v>
      </c>
      <c r="H12" s="13">
        <v>22</v>
      </c>
      <c r="I12" s="31">
        <v>80000</v>
      </c>
      <c r="J12" s="5">
        <v>5483</v>
      </c>
      <c r="K12" s="15">
        <f>L12+3050+5463+5497+6377+5244+5460+5580+5482+5489+5556+3742+5513+5475+4332+5489+5313+5297</f>
        <v>93842</v>
      </c>
      <c r="L12" s="15">
        <f>2507+2976</f>
        <v>5483</v>
      </c>
      <c r="M12" s="15">
        <f t="shared" si="0"/>
        <v>5483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6"/>
        <v>1</v>
      </c>
      <c r="AE12" s="36">
        <f t="shared" si="7"/>
        <v>0.44128787878787884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123</v>
      </c>
      <c r="E13" s="53" t="s">
        <v>182</v>
      </c>
      <c r="F13" s="30" t="s">
        <v>130</v>
      </c>
      <c r="G13" s="33">
        <v>1</v>
      </c>
      <c r="H13" s="35">
        <v>35</v>
      </c>
      <c r="I13" s="7">
        <v>1000</v>
      </c>
      <c r="J13" s="14">
        <v>3204</v>
      </c>
      <c r="K13" s="15">
        <f>L13+3204</f>
        <v>3204</v>
      </c>
      <c r="L13" s="15"/>
      <c r="M13" s="15">
        <f t="shared" si="0"/>
        <v>0</v>
      </c>
      <c r="N13" s="15">
        <v>0</v>
      </c>
      <c r="O13" s="58" t="str">
        <f t="shared" si="1"/>
        <v>0</v>
      </c>
      <c r="P13" s="39" t="str">
        <f t="shared" si="2"/>
        <v>0</v>
      </c>
      <c r="Q13" s="40">
        <f t="shared" si="3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4"/>
        <v>0</v>
      </c>
      <c r="AC13" s="9">
        <f t="shared" si="5"/>
        <v>0</v>
      </c>
      <c r="AD13" s="10">
        <f t="shared" si="6"/>
        <v>0</v>
      </c>
      <c r="AE13" s="36">
        <f t="shared" si="7"/>
        <v>0.44128787878787884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112</v>
      </c>
      <c r="D14" s="52" t="s">
        <v>115</v>
      </c>
      <c r="E14" s="53" t="s">
        <v>181</v>
      </c>
      <c r="F14" s="30" t="s">
        <v>171</v>
      </c>
      <c r="G14" s="33">
        <v>1</v>
      </c>
      <c r="H14" s="35">
        <v>50</v>
      </c>
      <c r="I14" s="7">
        <v>500</v>
      </c>
      <c r="J14" s="5">
        <v>608</v>
      </c>
      <c r="K14" s="15">
        <f>L14+290+608</f>
        <v>898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11</v>
      </c>
      <c r="R14" s="7"/>
      <c r="S14" s="6">
        <v>11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0.44128787878787884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12000</v>
      </c>
      <c r="J15" s="14">
        <v>12356</v>
      </c>
      <c r="K15" s="15">
        <f>L15+12356</f>
        <v>12356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0.44128787878787884</v>
      </c>
      <c r="AF15" s="84">
        <f t="shared" si="8"/>
        <v>10</v>
      </c>
    </row>
    <row r="16" spans="1:32" ht="30" customHeight="1">
      <c r="A16" s="112">
        <v>11</v>
      </c>
      <c r="B16" s="11" t="s">
        <v>57</v>
      </c>
      <c r="C16" s="34" t="s">
        <v>138</v>
      </c>
      <c r="D16" s="52" t="s">
        <v>115</v>
      </c>
      <c r="E16" s="53" t="s">
        <v>190</v>
      </c>
      <c r="F16" s="30" t="s">
        <v>139</v>
      </c>
      <c r="G16" s="12">
        <v>2</v>
      </c>
      <c r="H16" s="13">
        <v>24</v>
      </c>
      <c r="I16" s="7">
        <v>50000</v>
      </c>
      <c r="J16" s="14">
        <v>12464</v>
      </c>
      <c r="K16" s="15">
        <f>L16+11860+10666</f>
        <v>34990</v>
      </c>
      <c r="L16" s="15">
        <f>2838*2+3394*2</f>
        <v>12464</v>
      </c>
      <c r="M16" s="15">
        <f t="shared" si="0"/>
        <v>12464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6"/>
        <v>1</v>
      </c>
      <c r="AE16" s="36">
        <f t="shared" si="7"/>
        <v>0.44128787878787884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163</v>
      </c>
      <c r="D17" s="52"/>
      <c r="E17" s="53" t="s">
        <v>183</v>
      </c>
      <c r="F17" s="30" t="s">
        <v>169</v>
      </c>
      <c r="G17" s="12">
        <v>1</v>
      </c>
      <c r="H17" s="13">
        <v>24</v>
      </c>
      <c r="I17" s="7">
        <v>6000</v>
      </c>
      <c r="J17" s="14">
        <v>4928</v>
      </c>
      <c r="K17" s="15">
        <f>L17</f>
        <v>4928</v>
      </c>
      <c r="L17" s="15">
        <f>2775+2153</f>
        <v>4928</v>
      </c>
      <c r="M17" s="15">
        <f t="shared" si="0"/>
        <v>4928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6"/>
        <v>1</v>
      </c>
      <c r="AE17" s="36">
        <f t="shared" si="7"/>
        <v>0.44128787878787884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137</v>
      </c>
      <c r="E18" s="53" t="s">
        <v>191</v>
      </c>
      <c r="F18" s="30" t="s">
        <v>130</v>
      </c>
      <c r="G18" s="33">
        <v>1</v>
      </c>
      <c r="H18" s="35">
        <v>24</v>
      </c>
      <c r="I18" s="7">
        <v>180000</v>
      </c>
      <c r="J18" s="14">
        <v>11616</v>
      </c>
      <c r="K18" s="15">
        <f>L18+9952+11100</f>
        <v>32668</v>
      </c>
      <c r="L18" s="15">
        <f>2653*2+3155*2</f>
        <v>11616</v>
      </c>
      <c r="M18" s="15">
        <f t="shared" si="0"/>
        <v>11616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6"/>
        <v>1</v>
      </c>
      <c r="AE18" s="36">
        <f t="shared" si="7"/>
        <v>0.44128787878787884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112</v>
      </c>
      <c r="D19" s="52" t="s">
        <v>115</v>
      </c>
      <c r="E19" s="53" t="s">
        <v>213</v>
      </c>
      <c r="F19" s="30" t="s">
        <v>222</v>
      </c>
      <c r="G19" s="33">
        <v>1</v>
      </c>
      <c r="H19" s="35">
        <v>24</v>
      </c>
      <c r="I19" s="7">
        <v>500</v>
      </c>
      <c r="J19" s="14">
        <v>330</v>
      </c>
      <c r="K19" s="15">
        <f>L19</f>
        <v>0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>
        <v>24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 t="shared" si="6"/>
        <v>0</v>
      </c>
      <c r="AE19" s="36">
        <f t="shared" si="7"/>
        <v>0.44128787878787884</v>
      </c>
      <c r="AF19" s="84">
        <f t="shared" si="8"/>
        <v>14</v>
      </c>
    </row>
    <row r="20" spans="1:32" ht="30" customHeight="1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206</v>
      </c>
      <c r="G20" s="12">
        <v>2</v>
      </c>
      <c r="H20" s="13">
        <v>24</v>
      </c>
      <c r="I20" s="7">
        <v>230000</v>
      </c>
      <c r="J20" s="14">
        <v>10614</v>
      </c>
      <c r="K20" s="15">
        <f>L20+7008+11154+9077+8768+10676+10588+2521+7242+10236+10216</f>
        <v>98100</v>
      </c>
      <c r="L20" s="15">
        <f>2884*2+2423*2</f>
        <v>10614</v>
      </c>
      <c r="M20" s="15">
        <f t="shared" si="0"/>
        <v>10614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0.44128787878787884</v>
      </c>
      <c r="AF20" s="84">
        <f t="shared" si="8"/>
        <v>15</v>
      </c>
    </row>
    <row r="21" spans="1:32" ht="27" customHeight="1">
      <c r="A21" s="96">
        <v>16</v>
      </c>
      <c r="B21" s="11" t="s">
        <v>57</v>
      </c>
      <c r="C21" s="11" t="s">
        <v>113</v>
      </c>
      <c r="D21" s="52"/>
      <c r="E21" s="53" t="s">
        <v>134</v>
      </c>
      <c r="F21" s="12" t="s">
        <v>114</v>
      </c>
      <c r="G21" s="12">
        <v>4</v>
      </c>
      <c r="H21" s="35">
        <v>20</v>
      </c>
      <c r="I21" s="7">
        <v>1000000</v>
      </c>
      <c r="J21" s="14">
        <v>61848</v>
      </c>
      <c r="K21" s="15">
        <f>L21+52608+61640+61384+61404+61548+56540+56468</f>
        <v>473440</v>
      </c>
      <c r="L21" s="15">
        <f>8390*4+7072*4</f>
        <v>61848</v>
      </c>
      <c r="M21" s="15">
        <f t="shared" si="0"/>
        <v>61848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0.44128787878787884</v>
      </c>
      <c r="AF21" s="84">
        <f t="shared" si="8"/>
        <v>16</v>
      </c>
    </row>
    <row r="22" spans="1:32" ht="27" customHeight="1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0.44128787878787884</v>
      </c>
      <c r="AF22" s="84">
        <f t="shared" si="8"/>
        <v>31</v>
      </c>
    </row>
    <row r="23" spans="1:32" ht="27" customHeight="1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0.44128787878787884</v>
      </c>
      <c r="AF23" s="84">
        <f t="shared" si="8"/>
        <v>32</v>
      </c>
    </row>
    <row r="24" spans="1:32" ht="27" customHeight="1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7042</v>
      </c>
      <c r="K24" s="15">
        <f>L24+4387+7770+5806+7905+7479+7369+7360+2397+6904+7208+7013+6976+6992+2652+6495+7026+7051+7084+4297+6519</f>
        <v>133732</v>
      </c>
      <c r="L24" s="15">
        <f>4022+3020</f>
        <v>7042</v>
      </c>
      <c r="M24" s="15">
        <f t="shared" si="0"/>
        <v>7042</v>
      </c>
      <c r="N24" s="15">
        <v>0</v>
      </c>
      <c r="O24" s="58">
        <f t="shared" si="1"/>
        <v>0</v>
      </c>
      <c r="P24" s="39">
        <f t="shared" si="2"/>
        <v>24</v>
      </c>
      <c r="Q24" s="40">
        <f t="shared" si="3"/>
        <v>0</v>
      </c>
      <c r="R24" s="7"/>
      <c r="S24" s="6"/>
      <c r="T24" s="16"/>
      <c r="U24" s="16"/>
      <c r="V24" s="120"/>
      <c r="W24" s="5"/>
      <c r="X24" s="16"/>
      <c r="Y24" s="16"/>
      <c r="Z24" s="16"/>
      <c r="AA24" s="18"/>
      <c r="AB24" s="8">
        <f t="shared" si="4"/>
        <v>1</v>
      </c>
      <c r="AC24" s="9">
        <f t="shared" si="5"/>
        <v>1</v>
      </c>
      <c r="AD24" s="10">
        <f t="shared" si="6"/>
        <v>1</v>
      </c>
      <c r="AE24" s="36">
        <f t="shared" si="7"/>
        <v>0.44128787878787884</v>
      </c>
      <c r="AF24" s="84">
        <f t="shared" si="8"/>
        <v>33</v>
      </c>
    </row>
    <row r="25" spans="1:32" ht="27" customHeight="1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0.44128787878787884</v>
      </c>
      <c r="AF25" s="84">
        <f t="shared" si="8"/>
        <v>34</v>
      </c>
    </row>
    <row r="26" spans="1:32" ht="27" customHeight="1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0.44128787878787884</v>
      </c>
      <c r="AF26" s="84">
        <f t="shared" si="8"/>
        <v>35</v>
      </c>
    </row>
    <row r="27" spans="1:32" ht="27" customHeight="1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700000</v>
      </c>
      <c r="J27" s="14">
        <v>89792</v>
      </c>
      <c r="K27" s="15">
        <f>L27+326528+448864+89792</f>
        <v>865184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0.44128787878787884</v>
      </c>
      <c r="AF27" s="84">
        <f t="shared" si="8"/>
        <v>36</v>
      </c>
    </row>
    <row r="28" spans="1:32" ht="31.5" customHeight="1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9">SUM(I6:I27)</f>
        <v>3240100</v>
      </c>
      <c r="J28" s="19">
        <f t="shared" si="9"/>
        <v>274114</v>
      </c>
      <c r="K28" s="20">
        <f t="shared" si="9"/>
        <v>2416669</v>
      </c>
      <c r="L28" s="21">
        <f t="shared" si="9"/>
        <v>134530</v>
      </c>
      <c r="M28" s="20">
        <f t="shared" si="9"/>
        <v>134530</v>
      </c>
      <c r="N28" s="21">
        <f t="shared" si="9"/>
        <v>0</v>
      </c>
      <c r="O28" s="41">
        <f t="shared" si="1"/>
        <v>0</v>
      </c>
      <c r="P28" s="42">
        <f t="shared" ref="P28:AA28" si="10">SUM(P6:P27)</f>
        <v>233</v>
      </c>
      <c r="Q28" s="43">
        <f t="shared" si="10"/>
        <v>282</v>
      </c>
      <c r="R28" s="23">
        <f t="shared" si="10"/>
        <v>0</v>
      </c>
      <c r="S28" s="24">
        <f t="shared" si="10"/>
        <v>58</v>
      </c>
      <c r="T28" s="24">
        <f t="shared" si="10"/>
        <v>0</v>
      </c>
      <c r="U28" s="24">
        <f t="shared" si="10"/>
        <v>0</v>
      </c>
      <c r="V28" s="25">
        <f t="shared" si="10"/>
        <v>72</v>
      </c>
      <c r="W28" s="26">
        <f t="shared" si="10"/>
        <v>152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0</v>
      </c>
      <c r="AB28" s="28">
        <f>AVERAGE(AB6:AB27)</f>
        <v>0.55000000000000004</v>
      </c>
      <c r="AC28" s="4">
        <f>AVERAGE(AC6:AC27)</f>
        <v>0.44128787878787884</v>
      </c>
      <c r="AD28" s="4">
        <f>AVERAGE(AD6:AD27)</f>
        <v>0.44128787878787884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223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224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164" t="s">
        <v>46</v>
      </c>
      <c r="D57" s="164" t="s">
        <v>47</v>
      </c>
      <c r="E57" s="164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164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28" t="s">
        <v>112</v>
      </c>
      <c r="B58" s="529"/>
      <c r="C58" s="159" t="s">
        <v>161</v>
      </c>
      <c r="D58" s="159" t="s">
        <v>115</v>
      </c>
      <c r="E58" s="160" t="s">
        <v>213</v>
      </c>
      <c r="F58" s="530" t="s">
        <v>208</v>
      </c>
      <c r="G58" s="531"/>
      <c r="H58" s="531"/>
      <c r="I58" s="531"/>
      <c r="J58" s="531"/>
      <c r="K58" s="531"/>
      <c r="L58" s="531"/>
      <c r="M58" s="532"/>
      <c r="N58" s="163" t="s">
        <v>163</v>
      </c>
      <c r="O58" s="157" t="s">
        <v>164</v>
      </c>
      <c r="P58" s="544"/>
      <c r="Q58" s="545"/>
      <c r="R58" s="544" t="s">
        <v>225</v>
      </c>
      <c r="S58" s="546"/>
      <c r="T58" s="546"/>
      <c r="U58" s="545"/>
      <c r="V58" s="517" t="s">
        <v>124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28" t="s">
        <v>116</v>
      </c>
      <c r="B59" s="529"/>
      <c r="C59" s="159" t="s">
        <v>200</v>
      </c>
      <c r="D59" s="159" t="s">
        <v>115</v>
      </c>
      <c r="E59" s="160" t="s">
        <v>197</v>
      </c>
      <c r="F59" s="530" t="s">
        <v>172</v>
      </c>
      <c r="G59" s="531"/>
      <c r="H59" s="531"/>
      <c r="I59" s="531"/>
      <c r="J59" s="531"/>
      <c r="K59" s="531"/>
      <c r="L59" s="531"/>
      <c r="M59" s="532"/>
      <c r="N59" s="163" t="s">
        <v>112</v>
      </c>
      <c r="O59" s="157" t="s">
        <v>195</v>
      </c>
      <c r="P59" s="544" t="s">
        <v>135</v>
      </c>
      <c r="Q59" s="545"/>
      <c r="R59" s="544" t="s">
        <v>179</v>
      </c>
      <c r="S59" s="546"/>
      <c r="T59" s="546"/>
      <c r="U59" s="545"/>
      <c r="V59" s="517" t="s">
        <v>194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116</v>
      </c>
      <c r="B60" s="533"/>
      <c r="C60" s="160" t="s">
        <v>201</v>
      </c>
      <c r="D60" s="160" t="s">
        <v>135</v>
      </c>
      <c r="E60" s="160" t="s">
        <v>202</v>
      </c>
      <c r="F60" s="530" t="s">
        <v>211</v>
      </c>
      <c r="G60" s="531"/>
      <c r="H60" s="531"/>
      <c r="I60" s="531"/>
      <c r="J60" s="531"/>
      <c r="K60" s="531"/>
      <c r="L60" s="531"/>
      <c r="M60" s="532"/>
      <c r="N60" s="163" t="s">
        <v>116</v>
      </c>
      <c r="O60" s="157" t="s">
        <v>201</v>
      </c>
      <c r="P60" s="544" t="s">
        <v>135</v>
      </c>
      <c r="Q60" s="545"/>
      <c r="R60" s="544" t="s">
        <v>202</v>
      </c>
      <c r="S60" s="546"/>
      <c r="T60" s="546"/>
      <c r="U60" s="545"/>
      <c r="V60" s="517" t="s">
        <v>120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163</v>
      </c>
      <c r="B61" s="533"/>
      <c r="C61" s="160" t="s">
        <v>164</v>
      </c>
      <c r="D61" s="160"/>
      <c r="E61" s="160" t="s">
        <v>183</v>
      </c>
      <c r="F61" s="530" t="s">
        <v>120</v>
      </c>
      <c r="G61" s="531"/>
      <c r="H61" s="531"/>
      <c r="I61" s="531"/>
      <c r="J61" s="531"/>
      <c r="K61" s="531"/>
      <c r="L61" s="531"/>
      <c r="M61" s="532"/>
      <c r="N61" s="163" t="s">
        <v>116</v>
      </c>
      <c r="O61" s="157" t="s">
        <v>200</v>
      </c>
      <c r="P61" s="544" t="s">
        <v>115</v>
      </c>
      <c r="Q61" s="545"/>
      <c r="R61" s="544" t="s">
        <v>197</v>
      </c>
      <c r="S61" s="546"/>
      <c r="T61" s="546"/>
      <c r="U61" s="545"/>
      <c r="V61" s="517" t="s">
        <v>124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/>
      <c r="B62" s="533"/>
      <c r="C62" s="160"/>
      <c r="D62" s="160"/>
      <c r="E62" s="160"/>
      <c r="F62" s="530"/>
      <c r="G62" s="531"/>
      <c r="H62" s="531"/>
      <c r="I62" s="531"/>
      <c r="J62" s="531"/>
      <c r="K62" s="531"/>
      <c r="L62" s="531"/>
      <c r="M62" s="532"/>
      <c r="N62" s="163" t="s">
        <v>112</v>
      </c>
      <c r="O62" s="157" t="s">
        <v>161</v>
      </c>
      <c r="P62" s="544" t="s">
        <v>115</v>
      </c>
      <c r="Q62" s="545"/>
      <c r="R62" s="544" t="s">
        <v>213</v>
      </c>
      <c r="S62" s="546"/>
      <c r="T62" s="546"/>
      <c r="U62" s="545"/>
      <c r="V62" s="517" t="s">
        <v>120</v>
      </c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/>
      <c r="B63" s="533"/>
      <c r="C63" s="160"/>
      <c r="D63" s="160"/>
      <c r="E63" s="160"/>
      <c r="F63" s="530"/>
      <c r="G63" s="531"/>
      <c r="H63" s="531"/>
      <c r="I63" s="531"/>
      <c r="J63" s="531"/>
      <c r="K63" s="531"/>
      <c r="L63" s="531"/>
      <c r="M63" s="532"/>
      <c r="N63" s="163"/>
      <c r="O63" s="157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160"/>
      <c r="D64" s="160"/>
      <c r="E64" s="160"/>
      <c r="F64" s="530"/>
      <c r="G64" s="531"/>
      <c r="H64" s="531"/>
      <c r="I64" s="531"/>
      <c r="J64" s="531"/>
      <c r="K64" s="531"/>
      <c r="L64" s="531"/>
      <c r="M64" s="532"/>
      <c r="N64" s="163"/>
      <c r="O64" s="157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159"/>
      <c r="D65" s="159"/>
      <c r="E65" s="160"/>
      <c r="F65" s="530"/>
      <c r="G65" s="531"/>
      <c r="H65" s="531"/>
      <c r="I65" s="531"/>
      <c r="J65" s="531"/>
      <c r="K65" s="531"/>
      <c r="L65" s="531"/>
      <c r="M65" s="532"/>
      <c r="N65" s="163"/>
      <c r="O65" s="157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159"/>
      <c r="D66" s="159"/>
      <c r="E66" s="160"/>
      <c r="F66" s="530"/>
      <c r="G66" s="531"/>
      <c r="H66" s="531"/>
      <c r="I66" s="531"/>
      <c r="J66" s="531"/>
      <c r="K66" s="531"/>
      <c r="L66" s="531"/>
      <c r="M66" s="532"/>
      <c r="N66" s="163"/>
      <c r="O66" s="157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161"/>
      <c r="D67" s="162"/>
      <c r="E67" s="161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226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158" t="s">
        <v>2</v>
      </c>
      <c r="D69" s="158" t="s">
        <v>37</v>
      </c>
      <c r="E69" s="158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158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 t="s">
        <v>116</v>
      </c>
      <c r="D70" s="153"/>
      <c r="E70" s="156" t="s">
        <v>127</v>
      </c>
      <c r="F70" s="518" t="s">
        <v>227</v>
      </c>
      <c r="G70" s="519"/>
      <c r="H70" s="519"/>
      <c r="I70" s="519"/>
      <c r="J70" s="520"/>
      <c r="K70" s="504" t="s">
        <v>228</v>
      </c>
      <c r="L70" s="504"/>
      <c r="M70" s="51" t="s">
        <v>216</v>
      </c>
      <c r="N70" s="515" t="s">
        <v>217</v>
      </c>
      <c r="O70" s="515"/>
      <c r="P70" s="516">
        <v>50</v>
      </c>
      <c r="Q70" s="516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 t="s">
        <v>163</v>
      </c>
      <c r="D71" s="153"/>
      <c r="E71" s="156"/>
      <c r="F71" s="518" t="s">
        <v>204</v>
      </c>
      <c r="G71" s="519"/>
      <c r="H71" s="519"/>
      <c r="I71" s="519"/>
      <c r="J71" s="520"/>
      <c r="K71" s="504" t="s">
        <v>206</v>
      </c>
      <c r="L71" s="504"/>
      <c r="M71" s="51" t="s">
        <v>229</v>
      </c>
      <c r="N71" s="515" t="s">
        <v>230</v>
      </c>
      <c r="O71" s="515"/>
      <c r="P71" s="516">
        <v>500</v>
      </c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 t="s">
        <v>232</v>
      </c>
      <c r="D72" s="153"/>
      <c r="E72" s="156" t="s">
        <v>115</v>
      </c>
      <c r="F72" s="518" t="s">
        <v>231</v>
      </c>
      <c r="G72" s="519"/>
      <c r="H72" s="519"/>
      <c r="I72" s="519"/>
      <c r="J72" s="520"/>
      <c r="K72" s="504" t="s">
        <v>233</v>
      </c>
      <c r="L72" s="504"/>
      <c r="M72" s="51" t="s">
        <v>216</v>
      </c>
      <c r="N72" s="515" t="s">
        <v>161</v>
      </c>
      <c r="O72" s="515"/>
      <c r="P72" s="516">
        <v>30</v>
      </c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/>
      <c r="D73" s="153"/>
      <c r="E73" s="156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/>
      <c r="D74" s="153"/>
      <c r="E74" s="156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/>
      <c r="D75" s="153"/>
      <c r="E75" s="156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/>
      <c r="D76" s="153"/>
      <c r="E76" s="156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153"/>
      <c r="E77" s="156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153"/>
      <c r="E78" s="156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153"/>
      <c r="E79" s="156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234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155" t="s">
        <v>2</v>
      </c>
      <c r="D81" s="155" t="s">
        <v>37</v>
      </c>
      <c r="E81" s="155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154"/>
      <c r="D82" s="154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153"/>
      <c r="D83" s="153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1">A83+1</f>
        <v>3</v>
      </c>
      <c r="B84" s="472"/>
      <c r="C84" s="153"/>
      <c r="D84" s="153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1"/>
        <v>4</v>
      </c>
      <c r="B85" s="472"/>
      <c r="C85" s="153"/>
      <c r="D85" s="153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1"/>
        <v>5</v>
      </c>
      <c r="B86" s="472"/>
      <c r="C86" s="153"/>
      <c r="D86" s="153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1"/>
        <v>6</v>
      </c>
      <c r="B87" s="472"/>
      <c r="C87" s="153"/>
      <c r="D87" s="153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1"/>
        <v>7</v>
      </c>
      <c r="B88" s="472"/>
      <c r="C88" s="153"/>
      <c r="D88" s="153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235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 t="s">
        <v>129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6" fitToHeight="2" orientation="landscape" r:id="rId1"/>
  <rowBreaks count="1" manualBreakCount="1">
    <brk id="53" max="2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EFD4-72FD-465D-9489-6B0E13B71D35}">
  <dimension ref="A1:AF94"/>
  <sheetViews>
    <sheetView view="pageBreakPreview" zoomScale="70" zoomScaleNormal="72" zoomScaleSheetLayoutView="70" workbookViewId="0">
      <selection activeCell="K88" sqref="K88:S8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236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166" t="s">
        <v>17</v>
      </c>
      <c r="L5" s="166" t="s">
        <v>18</v>
      </c>
      <c r="M5" s="166" t="s">
        <v>19</v>
      </c>
      <c r="N5" s="16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112</v>
      </c>
      <c r="D6" s="52" t="s">
        <v>127</v>
      </c>
      <c r="E6" s="53" t="s">
        <v>180</v>
      </c>
      <c r="F6" s="30" t="s">
        <v>141</v>
      </c>
      <c r="G6" s="12">
        <v>2</v>
      </c>
      <c r="H6" s="13">
        <v>24</v>
      </c>
      <c r="I6" s="31">
        <v>185000</v>
      </c>
      <c r="J6" s="14">
        <v>11622</v>
      </c>
      <c r="K6" s="15">
        <f>L6+5840+11504+11434+11462+11458+11584+10978+11678</f>
        <v>97560</v>
      </c>
      <c r="L6" s="15">
        <f>2805*2+3006*2</f>
        <v>11622</v>
      </c>
      <c r="M6" s="15">
        <f t="shared" ref="M6:M28" si="0">L6-N6</f>
        <v>11622</v>
      </c>
      <c r="N6" s="15">
        <v>0</v>
      </c>
      <c r="O6" s="58">
        <f t="shared" ref="O6:O29" si="1">IF(L6=0,"0",N6/L6)</f>
        <v>0</v>
      </c>
      <c r="P6" s="39">
        <f t="shared" ref="P6:P28" si="2">IF(L6=0,"0",(24-Q6))</f>
        <v>24</v>
      </c>
      <c r="Q6" s="40">
        <f t="shared" ref="Q6:Q28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28" si="4">IF(J6=0,"0",(L6/J6))</f>
        <v>1</v>
      </c>
      <c r="AC6" s="9">
        <f t="shared" ref="AC6:AC28" si="5">IF(P6=0,"0",(P6/24))</f>
        <v>1</v>
      </c>
      <c r="AD6" s="10">
        <f t="shared" ref="AD6:AD28" si="6">AC6*AB6*(1-O6)</f>
        <v>1</v>
      </c>
      <c r="AE6" s="36">
        <f t="shared" ref="AE6:AE28" si="7">$AD$29</f>
        <v>0.375</v>
      </c>
      <c r="AF6" s="84">
        <f t="shared" ref="AF6:AF28" si="8">A6</f>
        <v>1</v>
      </c>
    </row>
    <row r="7" spans="1:32" ht="27" customHeight="1">
      <c r="A7" s="112">
        <v>2</v>
      </c>
      <c r="B7" s="11" t="s">
        <v>57</v>
      </c>
      <c r="C7" s="34" t="s">
        <v>163</v>
      </c>
      <c r="D7" s="52"/>
      <c r="E7" s="53" t="s">
        <v>185</v>
      </c>
      <c r="F7" s="30" t="s">
        <v>169</v>
      </c>
      <c r="G7" s="12">
        <v>1</v>
      </c>
      <c r="H7" s="13">
        <v>24</v>
      </c>
      <c r="I7" s="31">
        <v>1100</v>
      </c>
      <c r="J7" s="14">
        <v>1500</v>
      </c>
      <c r="K7" s="15">
        <f>L7+1500</f>
        <v>1500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0.375</v>
      </c>
      <c r="AF7" s="84">
        <f t="shared" si="8"/>
        <v>2</v>
      </c>
    </row>
    <row r="8" spans="1:32" ht="27" customHeight="1">
      <c r="A8" s="96">
        <v>3</v>
      </c>
      <c r="B8" s="11" t="s">
        <v>57</v>
      </c>
      <c r="C8" s="34" t="s">
        <v>116</v>
      </c>
      <c r="D8" s="52" t="s">
        <v>123</v>
      </c>
      <c r="E8" s="53" t="s">
        <v>170</v>
      </c>
      <c r="F8" s="30" t="s">
        <v>165</v>
      </c>
      <c r="G8" s="12">
        <v>1</v>
      </c>
      <c r="H8" s="13">
        <v>24</v>
      </c>
      <c r="I8" s="7">
        <v>40000</v>
      </c>
      <c r="J8" s="14">
        <v>3874</v>
      </c>
      <c r="K8" s="15">
        <f>L8+3374+6197+4609+3474+6168+3874</f>
        <v>27696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/>
      <c r="T8" s="16"/>
      <c r="U8" s="16"/>
      <c r="V8" s="17"/>
      <c r="W8" s="5"/>
      <c r="X8" s="16"/>
      <c r="Y8" s="16"/>
      <c r="Z8" s="16"/>
      <c r="AA8" s="18">
        <v>24</v>
      </c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0.375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116</v>
      </c>
      <c r="D9" s="52" t="s">
        <v>115</v>
      </c>
      <c r="E9" s="53" t="s">
        <v>197</v>
      </c>
      <c r="F9" s="30" t="s">
        <v>171</v>
      </c>
      <c r="G9" s="12">
        <v>1</v>
      </c>
      <c r="H9" s="13">
        <v>24</v>
      </c>
      <c r="I9" s="7">
        <v>17000</v>
      </c>
      <c r="J9" s="14">
        <v>3887</v>
      </c>
      <c r="K9" s="15">
        <f>L9+3449+2796</f>
        <v>10132</v>
      </c>
      <c r="L9" s="15">
        <f>1004+2883</f>
        <v>3887</v>
      </c>
      <c r="M9" s="15">
        <f t="shared" si="0"/>
        <v>3887</v>
      </c>
      <c r="N9" s="15">
        <v>0</v>
      </c>
      <c r="O9" s="58">
        <f t="shared" si="1"/>
        <v>0</v>
      </c>
      <c r="P9" s="39">
        <f t="shared" si="2"/>
        <v>19</v>
      </c>
      <c r="Q9" s="40">
        <f t="shared" si="3"/>
        <v>5</v>
      </c>
      <c r="R9" s="7"/>
      <c r="S9" s="6">
        <v>5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0.79166666666666663</v>
      </c>
      <c r="AD9" s="10">
        <f t="shared" si="6"/>
        <v>0.79166666666666663</v>
      </c>
      <c r="AE9" s="36">
        <f t="shared" si="7"/>
        <v>0.375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163</v>
      </c>
      <c r="D10" s="52"/>
      <c r="E10" s="53" t="s">
        <v>204</v>
      </c>
      <c r="F10" s="30" t="s">
        <v>205</v>
      </c>
      <c r="G10" s="33">
        <v>2</v>
      </c>
      <c r="H10" s="35">
        <v>24</v>
      </c>
      <c r="I10" s="7">
        <v>100000</v>
      </c>
      <c r="J10" s="14">
        <v>10206</v>
      </c>
      <c r="K10" s="15">
        <f>L10</f>
        <v>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>
        <v>24</v>
      </c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6"/>
        <v>0</v>
      </c>
      <c r="AE10" s="36">
        <f t="shared" si="7"/>
        <v>0.375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123</v>
      </c>
      <c r="E11" s="53" t="s">
        <v>202</v>
      </c>
      <c r="F11" s="30" t="s">
        <v>128</v>
      </c>
      <c r="G11" s="33">
        <v>1</v>
      </c>
      <c r="H11" s="35">
        <v>24</v>
      </c>
      <c r="I11" s="7">
        <v>17000</v>
      </c>
      <c r="J11" s="14">
        <v>2187</v>
      </c>
      <c r="K11" s="15">
        <f>L11+117+2187</f>
        <v>2304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>
        <v>24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si="6"/>
        <v>0</v>
      </c>
      <c r="AE11" s="36">
        <f t="shared" si="7"/>
        <v>0.375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116</v>
      </c>
      <c r="D12" s="52" t="s">
        <v>115</v>
      </c>
      <c r="E12" s="53" t="s">
        <v>176</v>
      </c>
      <c r="F12" s="30" t="s">
        <v>148</v>
      </c>
      <c r="G12" s="12">
        <v>1</v>
      </c>
      <c r="H12" s="13">
        <v>22</v>
      </c>
      <c r="I12" s="31">
        <v>80000</v>
      </c>
      <c r="J12" s="5">
        <v>5486</v>
      </c>
      <c r="K12" s="15">
        <f>L12+3050+5463+5497+6377+5244+5460+5580+5482+5489+5556+3742+5513+5475+4332+5489+5313+5297+5483</f>
        <v>99328</v>
      </c>
      <c r="L12" s="15">
        <f>2638+2848</f>
        <v>5486</v>
      </c>
      <c r="M12" s="15">
        <f t="shared" si="0"/>
        <v>5486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6"/>
        <v>1</v>
      </c>
      <c r="AE12" s="36">
        <f t="shared" si="7"/>
        <v>0.375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123</v>
      </c>
      <c r="E13" s="53" t="s">
        <v>182</v>
      </c>
      <c r="F13" s="30" t="s">
        <v>130</v>
      </c>
      <c r="G13" s="33">
        <v>1</v>
      </c>
      <c r="H13" s="35">
        <v>35</v>
      </c>
      <c r="I13" s="7">
        <v>1000</v>
      </c>
      <c r="J13" s="14">
        <v>3204</v>
      </c>
      <c r="K13" s="15">
        <f>L13+3204</f>
        <v>3204</v>
      </c>
      <c r="L13" s="15"/>
      <c r="M13" s="15">
        <f t="shared" si="0"/>
        <v>0</v>
      </c>
      <c r="N13" s="15">
        <v>0</v>
      </c>
      <c r="O13" s="58" t="str">
        <f t="shared" si="1"/>
        <v>0</v>
      </c>
      <c r="P13" s="39" t="str">
        <f t="shared" si="2"/>
        <v>0</v>
      </c>
      <c r="Q13" s="40">
        <f t="shared" si="3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4"/>
        <v>0</v>
      </c>
      <c r="AC13" s="9">
        <f t="shared" si="5"/>
        <v>0</v>
      </c>
      <c r="AD13" s="10">
        <f t="shared" si="6"/>
        <v>0</v>
      </c>
      <c r="AE13" s="36">
        <f t="shared" si="7"/>
        <v>0.375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112</v>
      </c>
      <c r="D14" s="52" t="s">
        <v>115</v>
      </c>
      <c r="E14" s="53" t="s">
        <v>181</v>
      </c>
      <c r="F14" s="30" t="s">
        <v>171</v>
      </c>
      <c r="G14" s="33">
        <v>1</v>
      </c>
      <c r="H14" s="35">
        <v>50</v>
      </c>
      <c r="I14" s="7">
        <v>500</v>
      </c>
      <c r="J14" s="5">
        <v>608</v>
      </c>
      <c r="K14" s="15">
        <f>L14+290+608</f>
        <v>898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0.375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12000</v>
      </c>
      <c r="J15" s="14">
        <v>12356</v>
      </c>
      <c r="K15" s="15">
        <f>L15+12356</f>
        <v>12356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0.375</v>
      </c>
      <c r="AF15" s="84">
        <f t="shared" si="8"/>
        <v>10</v>
      </c>
    </row>
    <row r="16" spans="1:32" ht="30" customHeight="1">
      <c r="A16" s="112">
        <v>11</v>
      </c>
      <c r="B16" s="11" t="s">
        <v>57</v>
      </c>
      <c r="C16" s="34" t="s">
        <v>138</v>
      </c>
      <c r="D16" s="52" t="s">
        <v>115</v>
      </c>
      <c r="E16" s="53" t="s">
        <v>190</v>
      </c>
      <c r="F16" s="30" t="s">
        <v>139</v>
      </c>
      <c r="G16" s="12">
        <v>2</v>
      </c>
      <c r="H16" s="13">
        <v>24</v>
      </c>
      <c r="I16" s="7">
        <v>50000</v>
      </c>
      <c r="J16" s="14">
        <v>10844</v>
      </c>
      <c r="K16" s="15">
        <f>L16+11860+10666+12464</f>
        <v>45834</v>
      </c>
      <c r="L16" s="15">
        <f>2847*2+2575*2</f>
        <v>10844</v>
      </c>
      <c r="M16" s="15">
        <f t="shared" si="0"/>
        <v>10844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6"/>
        <v>1</v>
      </c>
      <c r="AE16" s="36">
        <f t="shared" si="7"/>
        <v>0.375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163</v>
      </c>
      <c r="D17" s="52"/>
      <c r="E17" s="53" t="s">
        <v>183</v>
      </c>
      <c r="F17" s="30" t="s">
        <v>169</v>
      </c>
      <c r="G17" s="12">
        <v>1</v>
      </c>
      <c r="H17" s="13">
        <v>24</v>
      </c>
      <c r="I17" s="7">
        <v>6000</v>
      </c>
      <c r="J17" s="14">
        <v>1832</v>
      </c>
      <c r="K17" s="15">
        <f>L17+4928</f>
        <v>6760</v>
      </c>
      <c r="L17" s="15">
        <v>1832</v>
      </c>
      <c r="M17" s="15">
        <f t="shared" si="0"/>
        <v>1832</v>
      </c>
      <c r="N17" s="15">
        <v>0</v>
      </c>
      <c r="O17" s="58">
        <f t="shared" si="1"/>
        <v>0</v>
      </c>
      <c r="P17" s="39">
        <f t="shared" si="2"/>
        <v>8</v>
      </c>
      <c r="Q17" s="40">
        <f t="shared" si="3"/>
        <v>16</v>
      </c>
      <c r="R17" s="7"/>
      <c r="S17" s="6"/>
      <c r="T17" s="16"/>
      <c r="U17" s="16"/>
      <c r="V17" s="17"/>
      <c r="W17" s="5">
        <v>16</v>
      </c>
      <c r="X17" s="16"/>
      <c r="Y17" s="16"/>
      <c r="Z17" s="16"/>
      <c r="AA17" s="18"/>
      <c r="AB17" s="8">
        <f t="shared" si="4"/>
        <v>1</v>
      </c>
      <c r="AC17" s="9">
        <f t="shared" si="5"/>
        <v>0.33333333333333331</v>
      </c>
      <c r="AD17" s="10">
        <f t="shared" si="6"/>
        <v>0.33333333333333331</v>
      </c>
      <c r="AE17" s="36">
        <f t="shared" si="7"/>
        <v>0.375</v>
      </c>
      <c r="AF17" s="84">
        <f t="shared" si="8"/>
        <v>12</v>
      </c>
    </row>
    <row r="18" spans="1:32" ht="30" customHeight="1">
      <c r="A18" s="95">
        <v>12</v>
      </c>
      <c r="B18" s="11" t="s">
        <v>57</v>
      </c>
      <c r="C18" s="34" t="s">
        <v>163</v>
      </c>
      <c r="D18" s="52"/>
      <c r="E18" s="53" t="s">
        <v>225</v>
      </c>
      <c r="F18" s="30" t="s">
        <v>169</v>
      </c>
      <c r="G18" s="12">
        <v>1</v>
      </c>
      <c r="H18" s="13">
        <v>24</v>
      </c>
      <c r="I18" s="7">
        <v>6500</v>
      </c>
      <c r="J18" s="14">
        <v>3680</v>
      </c>
      <c r="K18" s="15">
        <f>L18</f>
        <v>3680</v>
      </c>
      <c r="L18" s="15">
        <f>3158+522</f>
        <v>3680</v>
      </c>
      <c r="M18" s="15">
        <f t="shared" ref="M18" si="9">L18-N18</f>
        <v>3680</v>
      </c>
      <c r="N18" s="15">
        <v>0</v>
      </c>
      <c r="O18" s="58">
        <f t="shared" ref="O18" si="10">IF(L18=0,"0",N18/L18)</f>
        <v>0</v>
      </c>
      <c r="P18" s="39">
        <f t="shared" ref="P18" si="11">IF(L18=0,"0",(24-Q18))</f>
        <v>14</v>
      </c>
      <c r="Q18" s="40">
        <f t="shared" ref="Q18" si="12">SUM(R18:AA18)</f>
        <v>10</v>
      </c>
      <c r="R18" s="7"/>
      <c r="S18" s="6"/>
      <c r="T18" s="16">
        <v>10</v>
      </c>
      <c r="U18" s="16"/>
      <c r="V18" s="17"/>
      <c r="W18" s="5"/>
      <c r="X18" s="16"/>
      <c r="Y18" s="16"/>
      <c r="Z18" s="16"/>
      <c r="AA18" s="18"/>
      <c r="AB18" s="8">
        <f t="shared" ref="AB18" si="13">IF(J18=0,"0",(L18/J18))</f>
        <v>1</v>
      </c>
      <c r="AC18" s="9">
        <f t="shared" ref="AC18" si="14">IF(P18=0,"0",(P18/24))</f>
        <v>0.58333333333333337</v>
      </c>
      <c r="AD18" s="10">
        <f t="shared" ref="AD18" si="15">AC18*AB18*(1-O18)</f>
        <v>0.58333333333333337</v>
      </c>
      <c r="AE18" s="36">
        <f t="shared" si="7"/>
        <v>0.375</v>
      </c>
      <c r="AF18" s="84">
        <f t="shared" ref="AF18" si="16">A18</f>
        <v>12</v>
      </c>
    </row>
    <row r="19" spans="1:32" ht="27" customHeight="1">
      <c r="A19" s="96">
        <v>13</v>
      </c>
      <c r="B19" s="11" t="s">
        <v>57</v>
      </c>
      <c r="C19" s="11" t="s">
        <v>112</v>
      </c>
      <c r="D19" s="52" t="s">
        <v>137</v>
      </c>
      <c r="E19" s="53" t="s">
        <v>191</v>
      </c>
      <c r="F19" s="30" t="s">
        <v>130</v>
      </c>
      <c r="G19" s="33">
        <v>1</v>
      </c>
      <c r="H19" s="35">
        <v>24</v>
      </c>
      <c r="I19" s="7">
        <v>180000</v>
      </c>
      <c r="J19" s="14">
        <v>11336</v>
      </c>
      <c r="K19" s="15">
        <f>L19+9952+11100+11616</f>
        <v>44004</v>
      </c>
      <c r="L19" s="15">
        <f>2672*2+2996*2</f>
        <v>11336</v>
      </c>
      <c r="M19" s="15">
        <f t="shared" si="0"/>
        <v>11336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6"/>
        <v>1</v>
      </c>
      <c r="AE19" s="36">
        <f t="shared" si="7"/>
        <v>0.375</v>
      </c>
      <c r="AF19" s="84">
        <f t="shared" si="8"/>
        <v>13</v>
      </c>
    </row>
    <row r="20" spans="1:32" ht="27" customHeight="1">
      <c r="A20" s="96">
        <v>14</v>
      </c>
      <c r="B20" s="11" t="s">
        <v>57</v>
      </c>
      <c r="C20" s="11" t="s">
        <v>112</v>
      </c>
      <c r="D20" s="52" t="s">
        <v>115</v>
      </c>
      <c r="E20" s="53" t="s">
        <v>213</v>
      </c>
      <c r="F20" s="30" t="s">
        <v>222</v>
      </c>
      <c r="G20" s="33">
        <v>1</v>
      </c>
      <c r="H20" s="35">
        <v>24</v>
      </c>
      <c r="I20" s="7">
        <v>500</v>
      </c>
      <c r="J20" s="14">
        <v>722</v>
      </c>
      <c r="K20" s="15">
        <f>L20</f>
        <v>722</v>
      </c>
      <c r="L20" s="15">
        <v>722</v>
      </c>
      <c r="M20" s="15">
        <f t="shared" si="0"/>
        <v>722</v>
      </c>
      <c r="N20" s="15">
        <v>0</v>
      </c>
      <c r="O20" s="58">
        <f t="shared" si="1"/>
        <v>0</v>
      </c>
      <c r="P20" s="39">
        <f t="shared" si="2"/>
        <v>10</v>
      </c>
      <c r="Q20" s="40">
        <f t="shared" si="3"/>
        <v>14</v>
      </c>
      <c r="R20" s="7"/>
      <c r="S20" s="6"/>
      <c r="T20" s="16"/>
      <c r="U20" s="16"/>
      <c r="V20" s="17"/>
      <c r="W20" s="5">
        <v>14</v>
      </c>
      <c r="X20" s="16"/>
      <c r="Y20" s="16"/>
      <c r="Z20" s="16"/>
      <c r="AA20" s="18"/>
      <c r="AB20" s="8">
        <f t="shared" si="4"/>
        <v>1</v>
      </c>
      <c r="AC20" s="9">
        <f t="shared" si="5"/>
        <v>0.41666666666666669</v>
      </c>
      <c r="AD20" s="10">
        <f t="shared" si="6"/>
        <v>0.41666666666666669</v>
      </c>
      <c r="AE20" s="36">
        <f t="shared" si="7"/>
        <v>0.375</v>
      </c>
      <c r="AF20" s="84">
        <f t="shared" si="8"/>
        <v>14</v>
      </c>
    </row>
    <row r="21" spans="1:32" ht="30" customHeight="1">
      <c r="A21" s="112">
        <v>15</v>
      </c>
      <c r="B21" s="11" t="s">
        <v>57</v>
      </c>
      <c r="C21" s="34" t="s">
        <v>112</v>
      </c>
      <c r="D21" s="52" t="s">
        <v>115</v>
      </c>
      <c r="E21" s="53" t="s">
        <v>178</v>
      </c>
      <c r="F21" s="30" t="s">
        <v>206</v>
      </c>
      <c r="G21" s="12">
        <v>2</v>
      </c>
      <c r="H21" s="13">
        <v>24</v>
      </c>
      <c r="I21" s="7">
        <v>230000</v>
      </c>
      <c r="J21" s="14">
        <v>10620</v>
      </c>
      <c r="K21" s="15">
        <f>L21+7008+11154+9077+8768+10676+10588+2521+7242+10236+10216+10614</f>
        <v>108720</v>
      </c>
      <c r="L21" s="15">
        <f>2553*2+2757*2</f>
        <v>10620</v>
      </c>
      <c r="M21" s="15">
        <f t="shared" si="0"/>
        <v>10620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0.375</v>
      </c>
      <c r="AF21" s="84">
        <f t="shared" si="8"/>
        <v>15</v>
      </c>
    </row>
    <row r="22" spans="1:32" ht="27" customHeight="1">
      <c r="A22" s="96">
        <v>16</v>
      </c>
      <c r="B22" s="11" t="s">
        <v>57</v>
      </c>
      <c r="C22" s="11" t="s">
        <v>113</v>
      </c>
      <c r="D22" s="52"/>
      <c r="E22" s="53" t="s">
        <v>134</v>
      </c>
      <c r="F22" s="12" t="s">
        <v>114</v>
      </c>
      <c r="G22" s="12">
        <v>4</v>
      </c>
      <c r="H22" s="35">
        <v>20</v>
      </c>
      <c r="I22" s="7">
        <v>1000000</v>
      </c>
      <c r="J22" s="14">
        <v>61944</v>
      </c>
      <c r="K22" s="15">
        <f>L22+52608+61640+61384+61404+61548+56540+56468+61848</f>
        <v>535384</v>
      </c>
      <c r="L22" s="15">
        <f>7455*4+8031*4</f>
        <v>61944</v>
      </c>
      <c r="M22" s="15">
        <f t="shared" si="0"/>
        <v>61944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6"/>
        <v>1</v>
      </c>
      <c r="AE22" s="36">
        <f t="shared" si="7"/>
        <v>0.375</v>
      </c>
      <c r="AF22" s="84">
        <f t="shared" si="8"/>
        <v>16</v>
      </c>
    </row>
    <row r="23" spans="1:32" ht="27" customHeight="1">
      <c r="A23" s="96">
        <v>31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0.375</v>
      </c>
      <c r="AF23" s="84">
        <f t="shared" si="8"/>
        <v>31</v>
      </c>
    </row>
    <row r="24" spans="1:32" ht="27" customHeight="1">
      <c r="A24" s="96">
        <v>32</v>
      </c>
      <c r="B24" s="11" t="s">
        <v>57</v>
      </c>
      <c r="C24" s="11"/>
      <c r="D24" s="52"/>
      <c r="E24" s="53"/>
      <c r="F24" s="12"/>
      <c r="G24" s="12"/>
      <c r="H24" s="35">
        <v>20</v>
      </c>
      <c r="I24" s="7"/>
      <c r="J24" s="14">
        <v>0</v>
      </c>
      <c r="K24" s="15">
        <f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>
        <v>24</v>
      </c>
      <c r="W24" s="5"/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0.375</v>
      </c>
      <c r="AF24" s="84">
        <f t="shared" si="8"/>
        <v>32</v>
      </c>
    </row>
    <row r="25" spans="1:32" ht="27" customHeight="1">
      <c r="A25" s="96">
        <v>33</v>
      </c>
      <c r="B25" s="11" t="s">
        <v>57</v>
      </c>
      <c r="C25" s="11" t="s">
        <v>116</v>
      </c>
      <c r="D25" s="52" t="s">
        <v>142</v>
      </c>
      <c r="E25" s="53" t="s">
        <v>146</v>
      </c>
      <c r="F25" s="12" t="s">
        <v>140</v>
      </c>
      <c r="G25" s="12">
        <v>1</v>
      </c>
      <c r="H25" s="35">
        <v>20</v>
      </c>
      <c r="I25" s="7">
        <v>140000</v>
      </c>
      <c r="J25" s="14">
        <v>3244</v>
      </c>
      <c r="K25" s="15">
        <f>L25+4387+7770+5806+7905+7479+7369+7360+2397+6904+7208+7013+6976+6992+2652+6495+7026+7051+7084+4297+6519+7042</f>
        <v>136976</v>
      </c>
      <c r="L25" s="15">
        <v>3244</v>
      </c>
      <c r="M25" s="15">
        <f t="shared" si="0"/>
        <v>3244</v>
      </c>
      <c r="N25" s="15">
        <v>0</v>
      </c>
      <c r="O25" s="58">
        <f t="shared" si="1"/>
        <v>0</v>
      </c>
      <c r="P25" s="39">
        <f t="shared" si="2"/>
        <v>12</v>
      </c>
      <c r="Q25" s="40">
        <f t="shared" si="3"/>
        <v>12</v>
      </c>
      <c r="R25" s="7"/>
      <c r="S25" s="6"/>
      <c r="T25" s="16"/>
      <c r="U25" s="16"/>
      <c r="V25" s="120"/>
      <c r="W25" s="5">
        <v>12</v>
      </c>
      <c r="X25" s="16"/>
      <c r="Y25" s="16"/>
      <c r="Z25" s="16"/>
      <c r="AA25" s="18"/>
      <c r="AB25" s="8">
        <f t="shared" si="4"/>
        <v>1</v>
      </c>
      <c r="AC25" s="9">
        <f t="shared" si="5"/>
        <v>0.5</v>
      </c>
      <c r="AD25" s="10">
        <f t="shared" si="6"/>
        <v>0.5</v>
      </c>
      <c r="AE25" s="36">
        <f t="shared" si="7"/>
        <v>0.375</v>
      </c>
      <c r="AF25" s="84">
        <f t="shared" si="8"/>
        <v>33</v>
      </c>
    </row>
    <row r="26" spans="1:32" ht="27" customHeight="1">
      <c r="A26" s="96">
        <v>34</v>
      </c>
      <c r="B26" s="11" t="s">
        <v>57</v>
      </c>
      <c r="C26" s="11" t="s">
        <v>116</v>
      </c>
      <c r="D26" s="52" t="s">
        <v>142</v>
      </c>
      <c r="E26" s="53" t="s">
        <v>147</v>
      </c>
      <c r="F26" s="12" t="s">
        <v>131</v>
      </c>
      <c r="G26" s="12">
        <v>4</v>
      </c>
      <c r="H26" s="35">
        <v>20</v>
      </c>
      <c r="I26" s="7">
        <v>240000</v>
      </c>
      <c r="J26" s="14">
        <v>9988</v>
      </c>
      <c r="K26" s="15">
        <f>L26+24768+29084+29040+29804+27780+4064+26996+28972+25428+29132+9988</f>
        <v>265056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0.375</v>
      </c>
      <c r="AF26" s="84">
        <f t="shared" si="8"/>
        <v>34</v>
      </c>
    </row>
    <row r="27" spans="1:32" ht="27" customHeight="1">
      <c r="A27" s="96">
        <v>35</v>
      </c>
      <c r="B27" s="11" t="s">
        <v>57</v>
      </c>
      <c r="C27" s="11" t="s">
        <v>116</v>
      </c>
      <c r="D27" s="52" t="s">
        <v>122</v>
      </c>
      <c r="E27" s="53" t="s">
        <v>133</v>
      </c>
      <c r="F27" s="12" t="s">
        <v>131</v>
      </c>
      <c r="G27" s="12">
        <v>4</v>
      </c>
      <c r="H27" s="35">
        <v>20</v>
      </c>
      <c r="I27" s="7">
        <v>240000</v>
      </c>
      <c r="J27" s="14">
        <v>11600</v>
      </c>
      <c r="K27" s="15">
        <f>L27+25004+29968+31848+29672+31736+27000+29200+29420+29140+11600</f>
        <v>274588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0.375</v>
      </c>
      <c r="AF27" s="84">
        <f t="shared" si="8"/>
        <v>35</v>
      </c>
    </row>
    <row r="28" spans="1:32" ht="27" customHeight="1" thickBot="1">
      <c r="A28" s="96">
        <v>36</v>
      </c>
      <c r="B28" s="11" t="s">
        <v>57</v>
      </c>
      <c r="C28" s="11" t="s">
        <v>173</v>
      </c>
      <c r="D28" s="52"/>
      <c r="E28" s="53" t="s">
        <v>174</v>
      </c>
      <c r="F28" s="12" t="s">
        <v>175</v>
      </c>
      <c r="G28" s="12">
        <v>32</v>
      </c>
      <c r="H28" s="35">
        <v>20</v>
      </c>
      <c r="I28" s="7">
        <v>700000</v>
      </c>
      <c r="J28" s="14">
        <v>89792</v>
      </c>
      <c r="K28" s="15">
        <f>L28+326528+448864+89792</f>
        <v>865184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20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6"/>
        <v>0</v>
      </c>
      <c r="AE28" s="36">
        <f t="shared" si="7"/>
        <v>0.375</v>
      </c>
      <c r="AF28" s="84">
        <f t="shared" si="8"/>
        <v>36</v>
      </c>
    </row>
    <row r="29" spans="1:32" ht="31.5" customHeight="1" thickBot="1">
      <c r="A29" s="549" t="s">
        <v>34</v>
      </c>
      <c r="B29" s="550"/>
      <c r="C29" s="550"/>
      <c r="D29" s="550"/>
      <c r="E29" s="550"/>
      <c r="F29" s="550"/>
      <c r="G29" s="550"/>
      <c r="H29" s="551"/>
      <c r="I29" s="22">
        <f t="shared" ref="I29:N29" si="17">SUM(I6:I28)</f>
        <v>3246600</v>
      </c>
      <c r="J29" s="19">
        <f t="shared" si="17"/>
        <v>270532</v>
      </c>
      <c r="K29" s="20">
        <f t="shared" si="17"/>
        <v>2541886</v>
      </c>
      <c r="L29" s="21">
        <f t="shared" si="17"/>
        <v>125217</v>
      </c>
      <c r="M29" s="20">
        <f t="shared" si="17"/>
        <v>125217</v>
      </c>
      <c r="N29" s="21">
        <f t="shared" si="17"/>
        <v>0</v>
      </c>
      <c r="O29" s="41">
        <f t="shared" si="1"/>
        <v>0</v>
      </c>
      <c r="P29" s="42">
        <f t="shared" ref="P29:AA29" si="18">SUM(P6:P28)</f>
        <v>207</v>
      </c>
      <c r="Q29" s="43">
        <f t="shared" si="18"/>
        <v>345</v>
      </c>
      <c r="R29" s="23">
        <f t="shared" si="18"/>
        <v>0</v>
      </c>
      <c r="S29" s="24">
        <f t="shared" si="18"/>
        <v>29</v>
      </c>
      <c r="T29" s="24">
        <f t="shared" si="18"/>
        <v>10</v>
      </c>
      <c r="U29" s="24">
        <f t="shared" si="18"/>
        <v>0</v>
      </c>
      <c r="V29" s="25">
        <f t="shared" si="18"/>
        <v>72</v>
      </c>
      <c r="W29" s="26">
        <f t="shared" si="18"/>
        <v>210</v>
      </c>
      <c r="X29" s="27">
        <f t="shared" si="18"/>
        <v>0</v>
      </c>
      <c r="Y29" s="27">
        <f t="shared" si="18"/>
        <v>0</v>
      </c>
      <c r="Z29" s="27">
        <f t="shared" si="18"/>
        <v>0</v>
      </c>
      <c r="AA29" s="27">
        <f t="shared" si="18"/>
        <v>24</v>
      </c>
      <c r="AB29" s="28">
        <f>AVERAGE(AB6:AB28)</f>
        <v>0.52380952380952384</v>
      </c>
      <c r="AC29" s="4">
        <f>AVERAGE(AC6:AC28)</f>
        <v>0.375</v>
      </c>
      <c r="AD29" s="4">
        <f>AVERAGE(AD6:AD28)</f>
        <v>0.375</v>
      </c>
      <c r="AE29" s="29"/>
    </row>
    <row r="30" spans="1:32">
      <c r="T30" s="50" t="s">
        <v>143</v>
      </c>
    </row>
    <row r="31" spans="1:32" ht="18.75">
      <c r="A31" s="2"/>
      <c r="B31" s="2" t="s">
        <v>35</v>
      </c>
      <c r="C31" s="2"/>
      <c r="D31" s="2"/>
      <c r="E31" s="2"/>
      <c r="F31" s="2"/>
      <c r="G31" s="2"/>
      <c r="H31" s="3"/>
      <c r="I31" s="3"/>
      <c r="J31" s="2"/>
      <c r="K31" s="2"/>
      <c r="L31" s="2"/>
      <c r="M31" s="2"/>
      <c r="N31" s="2" t="s">
        <v>36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1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 t="s">
        <v>144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85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27">
      <c r="A46" s="59"/>
      <c r="B46" s="59"/>
      <c r="C46" s="59"/>
      <c r="D46" s="59"/>
      <c r="E46" s="59"/>
      <c r="F46" s="37"/>
      <c r="G46" s="37"/>
      <c r="H46" s="38"/>
      <c r="I46" s="38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F46" s="50"/>
    </row>
    <row r="47" spans="1:32" ht="29.25" customHeight="1">
      <c r="A47" s="60"/>
      <c r="B47" s="60"/>
      <c r="C47" s="61"/>
      <c r="D47" s="61"/>
      <c r="E47" s="61"/>
      <c r="F47" s="60"/>
      <c r="G47" s="60"/>
      <c r="H47" s="60"/>
      <c r="I47" s="60"/>
      <c r="J47" s="60"/>
      <c r="K47" s="60"/>
      <c r="L47" s="60"/>
      <c r="M47" s="61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4.2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36" thickBot="1">
      <c r="A56" s="552" t="s">
        <v>45</v>
      </c>
      <c r="B56" s="552"/>
      <c r="C56" s="552"/>
      <c r="D56" s="552"/>
      <c r="E56" s="552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26.25" thickBot="1">
      <c r="A57" s="553" t="s">
        <v>237</v>
      </c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5"/>
      <c r="N57" s="556" t="s">
        <v>240</v>
      </c>
      <c r="O57" s="557"/>
      <c r="P57" s="557"/>
      <c r="Q57" s="557"/>
      <c r="R57" s="557"/>
      <c r="S57" s="557"/>
      <c r="T57" s="557"/>
      <c r="U57" s="557"/>
      <c r="V57" s="557"/>
      <c r="W57" s="557"/>
      <c r="X57" s="557"/>
      <c r="Y57" s="557"/>
      <c r="Z57" s="557"/>
      <c r="AA57" s="557"/>
      <c r="AB57" s="557"/>
      <c r="AC57" s="557"/>
      <c r="AD57" s="558"/>
    </row>
    <row r="58" spans="1:32" ht="27" customHeight="1">
      <c r="A58" s="559" t="s">
        <v>2</v>
      </c>
      <c r="B58" s="560"/>
      <c r="C58" s="167" t="s">
        <v>46</v>
      </c>
      <c r="D58" s="167" t="s">
        <v>47</v>
      </c>
      <c r="E58" s="167" t="s">
        <v>107</v>
      </c>
      <c r="F58" s="561" t="s">
        <v>106</v>
      </c>
      <c r="G58" s="562"/>
      <c r="H58" s="562"/>
      <c r="I58" s="562"/>
      <c r="J58" s="562"/>
      <c r="K58" s="562"/>
      <c r="L58" s="562"/>
      <c r="M58" s="563"/>
      <c r="N58" s="67" t="s">
        <v>110</v>
      </c>
      <c r="O58" s="167" t="s">
        <v>46</v>
      </c>
      <c r="P58" s="561" t="s">
        <v>47</v>
      </c>
      <c r="Q58" s="564"/>
      <c r="R58" s="561" t="s">
        <v>38</v>
      </c>
      <c r="S58" s="562"/>
      <c r="T58" s="562"/>
      <c r="U58" s="564"/>
      <c r="V58" s="561" t="s">
        <v>48</v>
      </c>
      <c r="W58" s="562"/>
      <c r="X58" s="562"/>
      <c r="Y58" s="562"/>
      <c r="Z58" s="562"/>
      <c r="AA58" s="562"/>
      <c r="AB58" s="562"/>
      <c r="AC58" s="562"/>
      <c r="AD58" s="563"/>
    </row>
    <row r="59" spans="1:32" ht="27" customHeight="1">
      <c r="A59" s="528" t="s">
        <v>112</v>
      </c>
      <c r="B59" s="529"/>
      <c r="C59" s="168" t="s">
        <v>161</v>
      </c>
      <c r="D59" s="168" t="s">
        <v>115</v>
      </c>
      <c r="E59" s="170" t="s">
        <v>213</v>
      </c>
      <c r="F59" s="530" t="s">
        <v>120</v>
      </c>
      <c r="G59" s="531"/>
      <c r="H59" s="531"/>
      <c r="I59" s="531"/>
      <c r="J59" s="531"/>
      <c r="K59" s="531"/>
      <c r="L59" s="531"/>
      <c r="M59" s="532"/>
      <c r="N59" s="169" t="s">
        <v>138</v>
      </c>
      <c r="O59" s="175" t="s">
        <v>217</v>
      </c>
      <c r="P59" s="544" t="s">
        <v>142</v>
      </c>
      <c r="Q59" s="545"/>
      <c r="R59" s="544" t="s">
        <v>241</v>
      </c>
      <c r="S59" s="546"/>
      <c r="T59" s="546"/>
      <c r="U59" s="545"/>
      <c r="V59" s="517" t="s">
        <v>124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28" t="s">
        <v>116</v>
      </c>
      <c r="B60" s="529"/>
      <c r="C60" s="168" t="s">
        <v>200</v>
      </c>
      <c r="D60" s="168" t="s">
        <v>115</v>
      </c>
      <c r="E60" s="170" t="s">
        <v>197</v>
      </c>
      <c r="F60" s="530" t="s">
        <v>120</v>
      </c>
      <c r="G60" s="531"/>
      <c r="H60" s="531"/>
      <c r="I60" s="531"/>
      <c r="J60" s="531"/>
      <c r="K60" s="531"/>
      <c r="L60" s="531"/>
      <c r="M60" s="532"/>
      <c r="N60" s="169" t="s">
        <v>112</v>
      </c>
      <c r="O60" s="175" t="s">
        <v>195</v>
      </c>
      <c r="P60" s="544" t="s">
        <v>135</v>
      </c>
      <c r="Q60" s="545"/>
      <c r="R60" s="544" t="s">
        <v>179</v>
      </c>
      <c r="S60" s="546"/>
      <c r="T60" s="546"/>
      <c r="U60" s="545"/>
      <c r="V60" s="517" t="s">
        <v>194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116</v>
      </c>
      <c r="B61" s="533"/>
      <c r="C61" s="170" t="s">
        <v>201</v>
      </c>
      <c r="D61" s="170" t="s">
        <v>135</v>
      </c>
      <c r="E61" s="170" t="s">
        <v>202</v>
      </c>
      <c r="F61" s="530" t="s">
        <v>211</v>
      </c>
      <c r="G61" s="531"/>
      <c r="H61" s="531"/>
      <c r="I61" s="531"/>
      <c r="J61" s="531"/>
      <c r="K61" s="531"/>
      <c r="L61" s="531"/>
      <c r="M61" s="532"/>
      <c r="N61" s="169" t="s">
        <v>116</v>
      </c>
      <c r="O61" s="175" t="s">
        <v>201</v>
      </c>
      <c r="P61" s="544" t="s">
        <v>135</v>
      </c>
      <c r="Q61" s="545"/>
      <c r="R61" s="544" t="s">
        <v>202</v>
      </c>
      <c r="S61" s="546"/>
      <c r="T61" s="546"/>
      <c r="U61" s="545"/>
      <c r="V61" s="517" t="s">
        <v>120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 t="s">
        <v>163</v>
      </c>
      <c r="B62" s="533"/>
      <c r="C62" s="170" t="s">
        <v>164</v>
      </c>
      <c r="D62" s="170"/>
      <c r="E62" s="170" t="s">
        <v>225</v>
      </c>
      <c r="F62" s="530" t="s">
        <v>124</v>
      </c>
      <c r="G62" s="531"/>
      <c r="H62" s="531"/>
      <c r="I62" s="531"/>
      <c r="J62" s="531"/>
      <c r="K62" s="531"/>
      <c r="L62" s="531"/>
      <c r="M62" s="532"/>
      <c r="N62" s="169" t="s">
        <v>138</v>
      </c>
      <c r="O62" s="175" t="s">
        <v>156</v>
      </c>
      <c r="P62" s="544" t="s">
        <v>242</v>
      </c>
      <c r="Q62" s="545"/>
      <c r="R62" s="544" t="s">
        <v>243</v>
      </c>
      <c r="S62" s="546"/>
      <c r="T62" s="546"/>
      <c r="U62" s="545"/>
      <c r="V62" s="517" t="s">
        <v>124</v>
      </c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 t="s">
        <v>138</v>
      </c>
      <c r="B63" s="533"/>
      <c r="C63" s="170" t="s">
        <v>161</v>
      </c>
      <c r="D63" s="170" t="s">
        <v>239</v>
      </c>
      <c r="E63" s="170" t="s">
        <v>238</v>
      </c>
      <c r="F63" s="530" t="s">
        <v>211</v>
      </c>
      <c r="G63" s="531"/>
      <c r="H63" s="531"/>
      <c r="I63" s="531"/>
      <c r="J63" s="531"/>
      <c r="K63" s="531"/>
      <c r="L63" s="531"/>
      <c r="M63" s="532"/>
      <c r="N63" s="169" t="s">
        <v>138</v>
      </c>
      <c r="O63" s="175" t="s">
        <v>161</v>
      </c>
      <c r="P63" s="544" t="s">
        <v>244</v>
      </c>
      <c r="Q63" s="545"/>
      <c r="R63" s="544" t="s">
        <v>238</v>
      </c>
      <c r="S63" s="546"/>
      <c r="T63" s="546"/>
      <c r="U63" s="545"/>
      <c r="V63" s="517" t="s">
        <v>120</v>
      </c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170"/>
      <c r="D64" s="170"/>
      <c r="E64" s="170"/>
      <c r="F64" s="530"/>
      <c r="G64" s="531"/>
      <c r="H64" s="531"/>
      <c r="I64" s="531"/>
      <c r="J64" s="531"/>
      <c r="K64" s="531"/>
      <c r="L64" s="531"/>
      <c r="M64" s="532"/>
      <c r="N64" s="169" t="s">
        <v>163</v>
      </c>
      <c r="O64" s="175" t="s">
        <v>230</v>
      </c>
      <c r="P64" s="544"/>
      <c r="Q64" s="545"/>
      <c r="R64" s="544" t="s">
        <v>204</v>
      </c>
      <c r="S64" s="546"/>
      <c r="T64" s="546"/>
      <c r="U64" s="545"/>
      <c r="V64" s="517" t="s">
        <v>124</v>
      </c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43"/>
      <c r="B65" s="533"/>
      <c r="C65" s="170"/>
      <c r="D65" s="170"/>
      <c r="E65" s="170"/>
      <c r="F65" s="530"/>
      <c r="G65" s="531"/>
      <c r="H65" s="531"/>
      <c r="I65" s="531"/>
      <c r="J65" s="531"/>
      <c r="K65" s="531"/>
      <c r="L65" s="531"/>
      <c r="M65" s="532"/>
      <c r="N65" s="169"/>
      <c r="O65" s="175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168"/>
      <c r="D66" s="168"/>
      <c r="E66" s="170"/>
      <c r="F66" s="530"/>
      <c r="G66" s="531"/>
      <c r="H66" s="531"/>
      <c r="I66" s="531"/>
      <c r="J66" s="531"/>
      <c r="K66" s="531"/>
      <c r="L66" s="531"/>
      <c r="M66" s="532"/>
      <c r="N66" s="169"/>
      <c r="O66" s="175"/>
      <c r="P66" s="544"/>
      <c r="Q66" s="545"/>
      <c r="R66" s="544"/>
      <c r="S66" s="546"/>
      <c r="T66" s="546"/>
      <c r="U66" s="545"/>
      <c r="V66" s="517"/>
      <c r="W66" s="517"/>
      <c r="X66" s="517"/>
      <c r="Y66" s="517"/>
      <c r="Z66" s="517"/>
      <c r="AA66" s="517"/>
      <c r="AB66" s="517"/>
      <c r="AC66" s="517"/>
      <c r="AD66" s="534"/>
    </row>
    <row r="67" spans="1:32" ht="27" customHeight="1">
      <c r="A67" s="528"/>
      <c r="B67" s="529"/>
      <c r="C67" s="168"/>
      <c r="D67" s="168"/>
      <c r="E67" s="170"/>
      <c r="F67" s="530"/>
      <c r="G67" s="531"/>
      <c r="H67" s="531"/>
      <c r="I67" s="531"/>
      <c r="J67" s="531"/>
      <c r="K67" s="531"/>
      <c r="L67" s="531"/>
      <c r="M67" s="532"/>
      <c r="N67" s="169"/>
      <c r="O67" s="175"/>
      <c r="P67" s="533"/>
      <c r="Q67" s="533"/>
      <c r="R67" s="533"/>
      <c r="S67" s="533"/>
      <c r="T67" s="533"/>
      <c r="U67" s="533"/>
      <c r="V67" s="517"/>
      <c r="W67" s="517"/>
      <c r="X67" s="517"/>
      <c r="Y67" s="517"/>
      <c r="Z67" s="517"/>
      <c r="AA67" s="517"/>
      <c r="AB67" s="517"/>
      <c r="AC67" s="517"/>
      <c r="AD67" s="534"/>
      <c r="AF67" s="84">
        <f>8*3000</f>
        <v>24000</v>
      </c>
    </row>
    <row r="68" spans="1:32" ht="27" customHeight="1" thickBot="1">
      <c r="A68" s="535"/>
      <c r="B68" s="536"/>
      <c r="C68" s="171"/>
      <c r="D68" s="172"/>
      <c r="E68" s="171"/>
      <c r="F68" s="537"/>
      <c r="G68" s="538"/>
      <c r="H68" s="538"/>
      <c r="I68" s="538"/>
      <c r="J68" s="538"/>
      <c r="K68" s="538"/>
      <c r="L68" s="538"/>
      <c r="M68" s="539"/>
      <c r="N68" s="111"/>
      <c r="O68" s="103"/>
      <c r="P68" s="540"/>
      <c r="Q68" s="540"/>
      <c r="R68" s="540"/>
      <c r="S68" s="540"/>
      <c r="T68" s="540"/>
      <c r="U68" s="540"/>
      <c r="V68" s="541"/>
      <c r="W68" s="541"/>
      <c r="X68" s="541"/>
      <c r="Y68" s="541"/>
      <c r="Z68" s="541"/>
      <c r="AA68" s="541"/>
      <c r="AB68" s="541"/>
      <c r="AC68" s="541"/>
      <c r="AD68" s="542"/>
      <c r="AF68" s="84">
        <f>16*3000</f>
        <v>48000</v>
      </c>
    </row>
    <row r="69" spans="1:32" ht="27.75" thickBot="1">
      <c r="A69" s="526" t="s">
        <v>245</v>
      </c>
      <c r="B69" s="526"/>
      <c r="C69" s="526"/>
      <c r="D69" s="526"/>
      <c r="E69" s="526"/>
      <c r="F69" s="37"/>
      <c r="G69" s="37"/>
      <c r="H69" s="38"/>
      <c r="I69" s="38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F69" s="84">
        <v>24000</v>
      </c>
    </row>
    <row r="70" spans="1:32" ht="29.25" customHeight="1" thickBot="1">
      <c r="A70" s="527" t="s">
        <v>111</v>
      </c>
      <c r="B70" s="524"/>
      <c r="C70" s="173" t="s">
        <v>2</v>
      </c>
      <c r="D70" s="173" t="s">
        <v>37</v>
      </c>
      <c r="E70" s="173" t="s">
        <v>3</v>
      </c>
      <c r="F70" s="524" t="s">
        <v>109</v>
      </c>
      <c r="G70" s="524"/>
      <c r="H70" s="524"/>
      <c r="I70" s="524"/>
      <c r="J70" s="524"/>
      <c r="K70" s="524" t="s">
        <v>39</v>
      </c>
      <c r="L70" s="524"/>
      <c r="M70" s="173" t="s">
        <v>40</v>
      </c>
      <c r="N70" s="524" t="s">
        <v>41</v>
      </c>
      <c r="O70" s="524"/>
      <c r="P70" s="521" t="s">
        <v>42</v>
      </c>
      <c r="Q70" s="523"/>
      <c r="R70" s="521" t="s">
        <v>43</v>
      </c>
      <c r="S70" s="522"/>
      <c r="T70" s="522"/>
      <c r="U70" s="522"/>
      <c r="V70" s="522"/>
      <c r="W70" s="522"/>
      <c r="X70" s="522"/>
      <c r="Y70" s="522"/>
      <c r="Z70" s="522"/>
      <c r="AA70" s="523"/>
      <c r="AB70" s="524" t="s">
        <v>44</v>
      </c>
      <c r="AC70" s="524"/>
      <c r="AD70" s="525"/>
      <c r="AF70" s="84">
        <f>SUM(AF67:AF69)</f>
        <v>96000</v>
      </c>
    </row>
    <row r="71" spans="1:32" ht="25.5" customHeight="1">
      <c r="A71" s="512">
        <v>1</v>
      </c>
      <c r="B71" s="513"/>
      <c r="C71" s="104" t="s">
        <v>112</v>
      </c>
      <c r="D71" s="177"/>
      <c r="E71" s="174" t="s">
        <v>115</v>
      </c>
      <c r="F71" s="518" t="s">
        <v>246</v>
      </c>
      <c r="G71" s="519"/>
      <c r="H71" s="519"/>
      <c r="I71" s="519"/>
      <c r="J71" s="520"/>
      <c r="K71" s="504" t="s">
        <v>233</v>
      </c>
      <c r="L71" s="504"/>
      <c r="M71" s="51" t="s">
        <v>216</v>
      </c>
      <c r="N71" s="515" t="s">
        <v>156</v>
      </c>
      <c r="O71" s="515"/>
      <c r="P71" s="516"/>
      <c r="Q71" s="516"/>
      <c r="R71" s="517" t="s">
        <v>247</v>
      </c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2</v>
      </c>
      <c r="B72" s="513"/>
      <c r="C72" s="104" t="s">
        <v>112</v>
      </c>
      <c r="D72" s="177"/>
      <c r="E72" s="174" t="s">
        <v>115</v>
      </c>
      <c r="F72" s="518" t="s">
        <v>248</v>
      </c>
      <c r="G72" s="519"/>
      <c r="H72" s="519"/>
      <c r="I72" s="519"/>
      <c r="J72" s="520"/>
      <c r="K72" s="504" t="s">
        <v>233</v>
      </c>
      <c r="L72" s="504"/>
      <c r="M72" s="51" t="s">
        <v>216</v>
      </c>
      <c r="N72" s="515" t="s">
        <v>156</v>
      </c>
      <c r="O72" s="515"/>
      <c r="P72" s="516">
        <v>90</v>
      </c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3</v>
      </c>
      <c r="B73" s="513"/>
      <c r="C73" s="104"/>
      <c r="D73" s="177"/>
      <c r="E73" s="174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4</v>
      </c>
      <c r="B74" s="513"/>
      <c r="C74" s="104"/>
      <c r="D74" s="177"/>
      <c r="E74" s="174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5</v>
      </c>
      <c r="B75" s="513"/>
      <c r="C75" s="104"/>
      <c r="D75" s="177"/>
      <c r="E75" s="174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6</v>
      </c>
      <c r="B76" s="513"/>
      <c r="C76" s="104"/>
      <c r="D76" s="177"/>
      <c r="E76" s="174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7</v>
      </c>
      <c r="B77" s="513"/>
      <c r="C77" s="104"/>
      <c r="D77" s="177"/>
      <c r="E77" s="174"/>
      <c r="F77" s="518"/>
      <c r="G77" s="519"/>
      <c r="H77" s="519"/>
      <c r="I77" s="519"/>
      <c r="J77" s="520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8</v>
      </c>
      <c r="B78" s="513"/>
      <c r="C78" s="104"/>
      <c r="D78" s="177"/>
      <c r="E78" s="174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9</v>
      </c>
      <c r="B79" s="513"/>
      <c r="C79" s="104"/>
      <c r="D79" s="177"/>
      <c r="E79" s="174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5.5" customHeight="1">
      <c r="A80" s="512">
        <v>10</v>
      </c>
      <c r="B80" s="513"/>
      <c r="C80" s="104"/>
      <c r="D80" s="177"/>
      <c r="E80" s="174"/>
      <c r="F80" s="514"/>
      <c r="G80" s="504"/>
      <c r="H80" s="504"/>
      <c r="I80" s="504"/>
      <c r="J80" s="504"/>
      <c r="K80" s="504"/>
      <c r="L80" s="504"/>
      <c r="M80" s="51"/>
      <c r="N80" s="515"/>
      <c r="O80" s="515"/>
      <c r="P80" s="516"/>
      <c r="Q80" s="516"/>
      <c r="R80" s="517"/>
      <c r="S80" s="517"/>
      <c r="T80" s="517"/>
      <c r="U80" s="517"/>
      <c r="V80" s="517"/>
      <c r="W80" s="517"/>
      <c r="X80" s="517"/>
      <c r="Y80" s="517"/>
      <c r="Z80" s="517"/>
      <c r="AA80" s="517"/>
      <c r="AB80" s="504"/>
      <c r="AC80" s="504"/>
      <c r="AD80" s="505"/>
      <c r="AF80" s="50"/>
    </row>
    <row r="81" spans="1:32" ht="26.25" customHeight="1" thickBot="1">
      <c r="A81" s="484" t="s">
        <v>249</v>
      </c>
      <c r="B81" s="484"/>
      <c r="C81" s="484"/>
      <c r="D81" s="484"/>
      <c r="E81" s="484"/>
      <c r="F81" s="37"/>
      <c r="G81" s="37"/>
      <c r="H81" s="38"/>
      <c r="I81" s="38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F81" s="50"/>
    </row>
    <row r="82" spans="1:32" ht="23.25" thickBot="1">
      <c r="A82" s="506" t="s">
        <v>111</v>
      </c>
      <c r="B82" s="507"/>
      <c r="C82" s="176" t="s">
        <v>2</v>
      </c>
      <c r="D82" s="176" t="s">
        <v>37</v>
      </c>
      <c r="E82" s="176" t="s">
        <v>121</v>
      </c>
      <c r="F82" s="486" t="s">
        <v>38</v>
      </c>
      <c r="G82" s="486"/>
      <c r="H82" s="486"/>
      <c r="I82" s="486"/>
      <c r="J82" s="486"/>
      <c r="K82" s="508" t="s">
        <v>58</v>
      </c>
      <c r="L82" s="509"/>
      <c r="M82" s="509"/>
      <c r="N82" s="509"/>
      <c r="O82" s="509"/>
      <c r="P82" s="509"/>
      <c r="Q82" s="509"/>
      <c r="R82" s="509"/>
      <c r="S82" s="510"/>
      <c r="T82" s="486" t="s">
        <v>49</v>
      </c>
      <c r="U82" s="486"/>
      <c r="V82" s="508" t="s">
        <v>50</v>
      </c>
      <c r="W82" s="510"/>
      <c r="X82" s="509" t="s">
        <v>51</v>
      </c>
      <c r="Y82" s="509"/>
      <c r="Z82" s="509"/>
      <c r="AA82" s="509"/>
      <c r="AB82" s="509"/>
      <c r="AC82" s="509"/>
      <c r="AD82" s="511"/>
      <c r="AF82" s="50"/>
    </row>
    <row r="83" spans="1:32" ht="33.75" customHeight="1">
      <c r="A83" s="478">
        <v>1</v>
      </c>
      <c r="B83" s="479"/>
      <c r="C83" s="178"/>
      <c r="D83" s="178"/>
      <c r="E83" s="65"/>
      <c r="F83" s="493"/>
      <c r="G83" s="494"/>
      <c r="H83" s="494"/>
      <c r="I83" s="494"/>
      <c r="J83" s="495"/>
      <c r="K83" s="496"/>
      <c r="L83" s="497"/>
      <c r="M83" s="497"/>
      <c r="N83" s="497"/>
      <c r="O83" s="497"/>
      <c r="P83" s="497"/>
      <c r="Q83" s="497"/>
      <c r="R83" s="497"/>
      <c r="S83" s="498"/>
      <c r="T83" s="499"/>
      <c r="U83" s="500"/>
      <c r="V83" s="501"/>
      <c r="W83" s="501"/>
      <c r="X83" s="502"/>
      <c r="Y83" s="502"/>
      <c r="Z83" s="502"/>
      <c r="AA83" s="502"/>
      <c r="AB83" s="502"/>
      <c r="AC83" s="502"/>
      <c r="AD83" s="503"/>
      <c r="AF83" s="50"/>
    </row>
    <row r="84" spans="1:32" ht="30" customHeight="1">
      <c r="A84" s="471">
        <f>A83+1</f>
        <v>2</v>
      </c>
      <c r="B84" s="472"/>
      <c r="C84" s="177"/>
      <c r="D84" s="177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ref="A85:A89" si="19">A84+1</f>
        <v>3</v>
      </c>
      <c r="B85" s="472"/>
      <c r="C85" s="177"/>
      <c r="D85" s="177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9"/>
        <v>4</v>
      </c>
      <c r="B86" s="472"/>
      <c r="C86" s="177"/>
      <c r="D86" s="177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9"/>
        <v>5</v>
      </c>
      <c r="B87" s="472"/>
      <c r="C87" s="177"/>
      <c r="D87" s="177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9"/>
        <v>6</v>
      </c>
      <c r="B88" s="472"/>
      <c r="C88" s="177"/>
      <c r="D88" s="177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0" customHeight="1">
      <c r="A89" s="471">
        <f t="shared" si="19"/>
        <v>7</v>
      </c>
      <c r="B89" s="472"/>
      <c r="C89" s="177"/>
      <c r="D89" s="177"/>
      <c r="E89" s="32"/>
      <c r="F89" s="472"/>
      <c r="G89" s="472"/>
      <c r="H89" s="472"/>
      <c r="I89" s="472"/>
      <c r="J89" s="472"/>
      <c r="K89" s="487"/>
      <c r="L89" s="488"/>
      <c r="M89" s="488"/>
      <c r="N89" s="488"/>
      <c r="O89" s="488"/>
      <c r="P89" s="488"/>
      <c r="Q89" s="488"/>
      <c r="R89" s="488"/>
      <c r="S89" s="489"/>
      <c r="T89" s="490"/>
      <c r="U89" s="490"/>
      <c r="V89" s="490"/>
      <c r="W89" s="490"/>
      <c r="X89" s="491"/>
      <c r="Y89" s="491"/>
      <c r="Z89" s="491"/>
      <c r="AA89" s="491"/>
      <c r="AB89" s="491"/>
      <c r="AC89" s="491"/>
      <c r="AD89" s="492"/>
      <c r="AF89" s="50"/>
    </row>
    <row r="90" spans="1:32" ht="36" thickBot="1">
      <c r="A90" s="484" t="s">
        <v>250</v>
      </c>
      <c r="B90" s="484"/>
      <c r="C90" s="484"/>
      <c r="D90" s="484"/>
      <c r="E90" s="484"/>
      <c r="F90" s="37"/>
      <c r="G90" s="37"/>
      <c r="H90" s="38"/>
      <c r="I90" s="38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F90" s="50"/>
    </row>
    <row r="91" spans="1:32" ht="30.75" customHeight="1" thickBot="1">
      <c r="A91" s="485" t="s">
        <v>111</v>
      </c>
      <c r="B91" s="486"/>
      <c r="C91" s="476" t="s">
        <v>52</v>
      </c>
      <c r="D91" s="476"/>
      <c r="E91" s="476" t="s">
        <v>53</v>
      </c>
      <c r="F91" s="476"/>
      <c r="G91" s="476"/>
      <c r="H91" s="476"/>
      <c r="I91" s="476"/>
      <c r="J91" s="476"/>
      <c r="K91" s="476" t="s">
        <v>54</v>
      </c>
      <c r="L91" s="476"/>
      <c r="M91" s="476"/>
      <c r="N91" s="476"/>
      <c r="O91" s="476"/>
      <c r="P91" s="476"/>
      <c r="Q91" s="476"/>
      <c r="R91" s="476"/>
      <c r="S91" s="476"/>
      <c r="T91" s="476" t="s">
        <v>55</v>
      </c>
      <c r="U91" s="476"/>
      <c r="V91" s="476" t="s">
        <v>56</v>
      </c>
      <c r="W91" s="476"/>
      <c r="X91" s="476"/>
      <c r="Y91" s="476" t="s">
        <v>51</v>
      </c>
      <c r="Z91" s="476"/>
      <c r="AA91" s="476"/>
      <c r="AB91" s="476"/>
      <c r="AC91" s="476"/>
      <c r="AD91" s="477"/>
      <c r="AF91" s="50"/>
    </row>
    <row r="92" spans="1:32" ht="30.75" customHeight="1">
      <c r="A92" s="478">
        <v>1</v>
      </c>
      <c r="B92" s="479"/>
      <c r="C92" s="480">
        <v>9</v>
      </c>
      <c r="D92" s="480"/>
      <c r="E92" s="480" t="s">
        <v>125</v>
      </c>
      <c r="F92" s="480"/>
      <c r="G92" s="480"/>
      <c r="H92" s="480"/>
      <c r="I92" s="480"/>
      <c r="J92" s="480"/>
      <c r="K92" s="480" t="s">
        <v>132</v>
      </c>
      <c r="L92" s="480"/>
      <c r="M92" s="480"/>
      <c r="N92" s="480"/>
      <c r="O92" s="480"/>
      <c r="P92" s="480"/>
      <c r="Q92" s="480"/>
      <c r="R92" s="480"/>
      <c r="S92" s="480"/>
      <c r="T92" s="480" t="s">
        <v>126</v>
      </c>
      <c r="U92" s="480"/>
      <c r="V92" s="481" t="s">
        <v>129</v>
      </c>
      <c r="W92" s="481"/>
      <c r="X92" s="481"/>
      <c r="Y92" s="482"/>
      <c r="Z92" s="482"/>
      <c r="AA92" s="482"/>
      <c r="AB92" s="482"/>
      <c r="AC92" s="482"/>
      <c r="AD92" s="483"/>
      <c r="AF92" s="50"/>
    </row>
    <row r="93" spans="1:32" ht="30.75" customHeight="1">
      <c r="A93" s="471">
        <v>2</v>
      </c>
      <c r="B93" s="472"/>
      <c r="C93" s="473"/>
      <c r="D93" s="473"/>
      <c r="E93" s="473"/>
      <c r="F93" s="473"/>
      <c r="G93" s="473"/>
      <c r="H93" s="473"/>
      <c r="I93" s="473"/>
      <c r="J93" s="473"/>
      <c r="K93" s="473"/>
      <c r="L93" s="473"/>
      <c r="M93" s="473"/>
      <c r="N93" s="473"/>
      <c r="O93" s="473"/>
      <c r="P93" s="473"/>
      <c r="Q93" s="473"/>
      <c r="R93" s="473"/>
      <c r="S93" s="473"/>
      <c r="T93" s="474"/>
      <c r="U93" s="474"/>
      <c r="V93" s="475"/>
      <c r="W93" s="475"/>
      <c r="X93" s="475"/>
      <c r="Y93" s="463"/>
      <c r="Z93" s="463"/>
      <c r="AA93" s="463"/>
      <c r="AB93" s="463"/>
      <c r="AC93" s="463"/>
      <c r="AD93" s="464"/>
      <c r="AF93" s="50"/>
    </row>
    <row r="94" spans="1:32" ht="30.75" customHeight="1" thickBot="1">
      <c r="A94" s="465">
        <v>3</v>
      </c>
      <c r="B94" s="466"/>
      <c r="C94" s="467"/>
      <c r="D94" s="467"/>
      <c r="E94" s="467"/>
      <c r="F94" s="467"/>
      <c r="G94" s="467"/>
      <c r="H94" s="467"/>
      <c r="I94" s="467"/>
      <c r="J94" s="467"/>
      <c r="K94" s="467"/>
      <c r="L94" s="467"/>
      <c r="M94" s="467"/>
      <c r="N94" s="467"/>
      <c r="O94" s="467"/>
      <c r="P94" s="467"/>
      <c r="Q94" s="467"/>
      <c r="R94" s="467"/>
      <c r="S94" s="467"/>
      <c r="T94" s="467"/>
      <c r="U94" s="467"/>
      <c r="V94" s="468"/>
      <c r="W94" s="468"/>
      <c r="X94" s="468"/>
      <c r="Y94" s="469"/>
      <c r="Z94" s="469"/>
      <c r="AA94" s="469"/>
      <c r="AB94" s="469"/>
      <c r="AC94" s="469"/>
      <c r="AD94" s="470"/>
      <c r="AF94" s="50"/>
    </row>
  </sheetData>
  <mergeCells count="232">
    <mergeCell ref="Y93:AD93"/>
    <mergeCell ref="A94:B94"/>
    <mergeCell ref="C94:D94"/>
    <mergeCell ref="E94:J94"/>
    <mergeCell ref="K94:S94"/>
    <mergeCell ref="T94:U94"/>
    <mergeCell ref="V94:X94"/>
    <mergeCell ref="Y94:AD94"/>
    <mergeCell ref="A93:B93"/>
    <mergeCell ref="C93:D93"/>
    <mergeCell ref="E93:J93"/>
    <mergeCell ref="K93:S93"/>
    <mergeCell ref="T93:U93"/>
    <mergeCell ref="V93:X93"/>
    <mergeCell ref="V91:X91"/>
    <mergeCell ref="Y91:AD91"/>
    <mergeCell ref="A92:B92"/>
    <mergeCell ref="C92:D92"/>
    <mergeCell ref="E92:J92"/>
    <mergeCell ref="K92:S92"/>
    <mergeCell ref="T92:U92"/>
    <mergeCell ref="V92:X92"/>
    <mergeCell ref="Y92:AD92"/>
    <mergeCell ref="A90:E90"/>
    <mergeCell ref="A91:B91"/>
    <mergeCell ref="C91:D91"/>
    <mergeCell ref="E91:J91"/>
    <mergeCell ref="K91:S91"/>
    <mergeCell ref="T91:U91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B80:AD80"/>
    <mergeCell ref="A81:E81"/>
    <mergeCell ref="A82:B82"/>
    <mergeCell ref="F82:J82"/>
    <mergeCell ref="K82:S82"/>
    <mergeCell ref="T82:U82"/>
    <mergeCell ref="V82:W82"/>
    <mergeCell ref="X82:AD82"/>
    <mergeCell ref="A80:B80"/>
    <mergeCell ref="F80:J80"/>
    <mergeCell ref="K80:L80"/>
    <mergeCell ref="N80:O80"/>
    <mergeCell ref="P80:Q80"/>
    <mergeCell ref="R80:AA80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2:AD72"/>
    <mergeCell ref="A73:B73"/>
    <mergeCell ref="F73:J73"/>
    <mergeCell ref="K73:L73"/>
    <mergeCell ref="N73:O73"/>
    <mergeCell ref="P73:Q73"/>
    <mergeCell ref="R73:AA73"/>
    <mergeCell ref="AB73:AD73"/>
    <mergeCell ref="A72:B72"/>
    <mergeCell ref="F72:J72"/>
    <mergeCell ref="K72:L72"/>
    <mergeCell ref="N72:O72"/>
    <mergeCell ref="P72:Q72"/>
    <mergeCell ref="R72:AA72"/>
    <mergeCell ref="R70:AA70"/>
    <mergeCell ref="AB70:AD70"/>
    <mergeCell ref="A71:B71"/>
    <mergeCell ref="F71:J71"/>
    <mergeCell ref="K71:L71"/>
    <mergeCell ref="N71:O71"/>
    <mergeCell ref="P71:Q71"/>
    <mergeCell ref="R71:AA71"/>
    <mergeCell ref="AB71:AD71"/>
    <mergeCell ref="A69:E69"/>
    <mergeCell ref="A70:B70"/>
    <mergeCell ref="F70:J70"/>
    <mergeCell ref="K70:L70"/>
    <mergeCell ref="N70:O70"/>
    <mergeCell ref="P70:Q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D4:AD5"/>
    <mergeCell ref="A29:H29"/>
    <mergeCell ref="A56:E56"/>
    <mergeCell ref="A57:M57"/>
    <mergeCell ref="N57:AD57"/>
    <mergeCell ref="A58:B58"/>
    <mergeCell ref="F58:M58"/>
    <mergeCell ref="P58:Q58"/>
    <mergeCell ref="R58:U58"/>
    <mergeCell ref="V58:AD58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6" fitToHeight="2" orientation="landscape" r:id="rId1"/>
  <rowBreaks count="1" manualBreakCount="1">
    <brk id="54" max="2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977F-2133-496B-8CDD-7F03202D949A}">
  <dimension ref="A1:AF93"/>
  <sheetViews>
    <sheetView view="pageBreakPreview" zoomScale="70" zoomScaleNormal="72" zoomScaleSheetLayoutView="70" workbookViewId="0">
      <selection activeCell="A81" sqref="A81:B81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251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191" t="s">
        <v>17</v>
      </c>
      <c r="L5" s="191" t="s">
        <v>18</v>
      </c>
      <c r="M5" s="191" t="s">
        <v>19</v>
      </c>
      <c r="N5" s="19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112</v>
      </c>
      <c r="D6" s="52" t="s">
        <v>127</v>
      </c>
      <c r="E6" s="53" t="s">
        <v>180</v>
      </c>
      <c r="F6" s="30" t="s">
        <v>141</v>
      </c>
      <c r="G6" s="12">
        <v>2</v>
      </c>
      <c r="H6" s="13">
        <v>24</v>
      </c>
      <c r="I6" s="31">
        <v>185000</v>
      </c>
      <c r="J6" s="14">
        <v>11070</v>
      </c>
      <c r="K6" s="15">
        <f>L6+5840+11504+11434+11462+11458+11584+10978+11678+11622</f>
        <v>108630</v>
      </c>
      <c r="L6" s="15">
        <f>2648*2+2887*2</f>
        <v>11070</v>
      </c>
      <c r="M6" s="15">
        <f t="shared" ref="M6:M27" si="0">L6-N6</f>
        <v>11070</v>
      </c>
      <c r="N6" s="15">
        <v>0</v>
      </c>
      <c r="O6" s="58">
        <f t="shared" ref="O6:O28" si="1">IF(L6=0,"0",N6/L6)</f>
        <v>0</v>
      </c>
      <c r="P6" s="39">
        <f t="shared" ref="P6:P27" si="2">IF(L6=0,"0",(24-Q6))</f>
        <v>24</v>
      </c>
      <c r="Q6" s="40">
        <f t="shared" ref="Q6:Q27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27" si="4">IF(J6=0,"0",(L6/J6))</f>
        <v>1</v>
      </c>
      <c r="AC6" s="9">
        <f t="shared" ref="AC6:AC27" si="5">IF(P6=0,"0",(P6/24))</f>
        <v>1</v>
      </c>
      <c r="AD6" s="10">
        <f t="shared" ref="AD6:AD27" si="6">AC6*AB6*(1-O6)</f>
        <v>1</v>
      </c>
      <c r="AE6" s="36">
        <f t="shared" ref="AE6:AE27" si="7">$AD$28</f>
        <v>0.44696969696969691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190000</v>
      </c>
      <c r="J7" s="14">
        <v>2217</v>
      </c>
      <c r="K7" s="15">
        <f>L7</f>
        <v>2217</v>
      </c>
      <c r="L7" s="15">
        <f>2217</f>
        <v>2217</v>
      </c>
      <c r="M7" s="15">
        <f t="shared" si="0"/>
        <v>2217</v>
      </c>
      <c r="N7" s="15">
        <v>0</v>
      </c>
      <c r="O7" s="58">
        <f t="shared" si="1"/>
        <v>0</v>
      </c>
      <c r="P7" s="39">
        <f t="shared" si="2"/>
        <v>12</v>
      </c>
      <c r="Q7" s="40">
        <f t="shared" si="3"/>
        <v>12</v>
      </c>
      <c r="R7" s="7"/>
      <c r="S7" s="6">
        <v>12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0.5</v>
      </c>
      <c r="AD7" s="10">
        <f t="shared" si="6"/>
        <v>0.5</v>
      </c>
      <c r="AE7" s="36">
        <f t="shared" si="7"/>
        <v>0.44696969696969691</v>
      </c>
      <c r="AF7" s="84">
        <f t="shared" si="8"/>
        <v>2</v>
      </c>
    </row>
    <row r="8" spans="1:32" ht="27" customHeight="1">
      <c r="A8" s="96">
        <v>3</v>
      </c>
      <c r="B8" s="11" t="s">
        <v>57</v>
      </c>
      <c r="C8" s="34" t="s">
        <v>138</v>
      </c>
      <c r="D8" s="52" t="s">
        <v>242</v>
      </c>
      <c r="E8" s="53" t="s">
        <v>243</v>
      </c>
      <c r="F8" s="30" t="s">
        <v>139</v>
      </c>
      <c r="G8" s="12">
        <v>1</v>
      </c>
      <c r="H8" s="13">
        <v>24</v>
      </c>
      <c r="I8" s="7">
        <v>1000</v>
      </c>
      <c r="J8" s="14">
        <v>2372</v>
      </c>
      <c r="K8" s="15">
        <f>L8</f>
        <v>2372</v>
      </c>
      <c r="L8" s="15">
        <f>1084+1288</f>
        <v>2372</v>
      </c>
      <c r="M8" s="15">
        <f t="shared" si="0"/>
        <v>2372</v>
      </c>
      <c r="N8" s="15">
        <v>0</v>
      </c>
      <c r="O8" s="58">
        <f t="shared" si="1"/>
        <v>0</v>
      </c>
      <c r="P8" s="39">
        <f t="shared" si="2"/>
        <v>14</v>
      </c>
      <c r="Q8" s="40">
        <f t="shared" si="3"/>
        <v>10</v>
      </c>
      <c r="R8" s="7"/>
      <c r="S8" s="6">
        <v>10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0.58333333333333337</v>
      </c>
      <c r="AD8" s="10">
        <f t="shared" si="6"/>
        <v>0.58333333333333337</v>
      </c>
      <c r="AE8" s="36">
        <f t="shared" si="7"/>
        <v>0.44696969696969691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116</v>
      </c>
      <c r="D9" s="52" t="s">
        <v>115</v>
      </c>
      <c r="E9" s="53" t="s">
        <v>197</v>
      </c>
      <c r="F9" s="30" t="s">
        <v>171</v>
      </c>
      <c r="G9" s="12">
        <v>1</v>
      </c>
      <c r="H9" s="13">
        <v>24</v>
      </c>
      <c r="I9" s="7">
        <v>17000</v>
      </c>
      <c r="J9" s="14">
        <v>2239</v>
      </c>
      <c r="K9" s="15">
        <f>L9+3449+2796+3887</f>
        <v>12371</v>
      </c>
      <c r="L9" s="15">
        <v>2239</v>
      </c>
      <c r="M9" s="15">
        <f t="shared" si="0"/>
        <v>2239</v>
      </c>
      <c r="N9" s="15">
        <v>0</v>
      </c>
      <c r="O9" s="58">
        <f t="shared" si="1"/>
        <v>0</v>
      </c>
      <c r="P9" s="39">
        <f t="shared" si="2"/>
        <v>10</v>
      </c>
      <c r="Q9" s="40">
        <f t="shared" si="3"/>
        <v>14</v>
      </c>
      <c r="R9" s="7">
        <v>14</v>
      </c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0.41666666666666669</v>
      </c>
      <c r="AD9" s="10">
        <f t="shared" si="6"/>
        <v>0.41666666666666669</v>
      </c>
      <c r="AE9" s="36">
        <f t="shared" si="7"/>
        <v>0.44696969696969691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163</v>
      </c>
      <c r="D10" s="52"/>
      <c r="E10" s="53" t="s">
        <v>204</v>
      </c>
      <c r="F10" s="30" t="s">
        <v>205</v>
      </c>
      <c r="G10" s="33">
        <v>2</v>
      </c>
      <c r="H10" s="35">
        <v>24</v>
      </c>
      <c r="I10" s="7">
        <v>100000</v>
      </c>
      <c r="J10" s="14">
        <v>10206</v>
      </c>
      <c r="K10" s="15">
        <f>L10</f>
        <v>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>
        <v>24</v>
      </c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6"/>
        <v>0</v>
      </c>
      <c r="AE10" s="36">
        <f t="shared" si="7"/>
        <v>0.44696969696969691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123</v>
      </c>
      <c r="E11" s="53" t="s">
        <v>202</v>
      </c>
      <c r="F11" s="30" t="s">
        <v>128</v>
      </c>
      <c r="G11" s="33">
        <v>1</v>
      </c>
      <c r="H11" s="35">
        <v>24</v>
      </c>
      <c r="I11" s="7">
        <v>17000</v>
      </c>
      <c r="J11" s="14">
        <v>4140</v>
      </c>
      <c r="K11" s="15">
        <f>L11+117+2187</f>
        <v>6444</v>
      </c>
      <c r="L11" s="15">
        <f>1058+3082</f>
        <v>4140</v>
      </c>
      <c r="M11" s="15">
        <f t="shared" si="0"/>
        <v>4140</v>
      </c>
      <c r="N11" s="15">
        <v>0</v>
      </c>
      <c r="O11" s="58">
        <f t="shared" si="1"/>
        <v>0</v>
      </c>
      <c r="P11" s="39">
        <f t="shared" si="2"/>
        <v>19</v>
      </c>
      <c r="Q11" s="40">
        <f t="shared" si="3"/>
        <v>5</v>
      </c>
      <c r="R11" s="7"/>
      <c r="S11" s="6">
        <v>5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0.79166666666666663</v>
      </c>
      <c r="AD11" s="10">
        <f t="shared" si="6"/>
        <v>0.79166666666666663</v>
      </c>
      <c r="AE11" s="36">
        <f t="shared" si="7"/>
        <v>0.44696969696969691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116</v>
      </c>
      <c r="D12" s="52" t="s">
        <v>115</v>
      </c>
      <c r="E12" s="53" t="s">
        <v>176</v>
      </c>
      <c r="F12" s="30" t="s">
        <v>148</v>
      </c>
      <c r="G12" s="12">
        <v>1</v>
      </c>
      <c r="H12" s="13">
        <v>22</v>
      </c>
      <c r="I12" s="31">
        <v>80000</v>
      </c>
      <c r="J12" s="5">
        <v>5473</v>
      </c>
      <c r="K12" s="15">
        <f>L12+3050+5463+5497+6377+5244+5460+5580+5482+5489+5556+3742+5513+5475+4332+5489+5313+5297+5483+5486</f>
        <v>104801</v>
      </c>
      <c r="L12" s="15">
        <f>2744+2729</f>
        <v>5473</v>
      </c>
      <c r="M12" s="15">
        <f t="shared" si="0"/>
        <v>5473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6"/>
        <v>1</v>
      </c>
      <c r="AE12" s="36">
        <f t="shared" si="7"/>
        <v>0.44696969696969691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123</v>
      </c>
      <c r="E13" s="53" t="s">
        <v>182</v>
      </c>
      <c r="F13" s="30" t="s">
        <v>130</v>
      </c>
      <c r="G13" s="33">
        <v>1</v>
      </c>
      <c r="H13" s="35">
        <v>35</v>
      </c>
      <c r="I13" s="7">
        <v>1000</v>
      </c>
      <c r="J13" s="14">
        <v>3204</v>
      </c>
      <c r="K13" s="15">
        <f>L13+3204</f>
        <v>3204</v>
      </c>
      <c r="L13" s="15"/>
      <c r="M13" s="15">
        <f t="shared" si="0"/>
        <v>0</v>
      </c>
      <c r="N13" s="15">
        <v>0</v>
      </c>
      <c r="O13" s="58" t="str">
        <f t="shared" si="1"/>
        <v>0</v>
      </c>
      <c r="P13" s="39" t="str">
        <f t="shared" si="2"/>
        <v>0</v>
      </c>
      <c r="Q13" s="40">
        <f t="shared" si="3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4"/>
        <v>0</v>
      </c>
      <c r="AC13" s="9">
        <f t="shared" si="5"/>
        <v>0</v>
      </c>
      <c r="AD13" s="10">
        <f t="shared" si="6"/>
        <v>0</v>
      </c>
      <c r="AE13" s="36">
        <f t="shared" si="7"/>
        <v>0.44696969696969691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112</v>
      </c>
      <c r="D14" s="52" t="s">
        <v>115</v>
      </c>
      <c r="E14" s="53" t="s">
        <v>181</v>
      </c>
      <c r="F14" s="30" t="s">
        <v>171</v>
      </c>
      <c r="G14" s="33">
        <v>1</v>
      </c>
      <c r="H14" s="35">
        <v>50</v>
      </c>
      <c r="I14" s="7">
        <v>500</v>
      </c>
      <c r="J14" s="5">
        <v>608</v>
      </c>
      <c r="K14" s="15">
        <f>L14+290+608</f>
        <v>898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0.44696969696969691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12000</v>
      </c>
      <c r="J15" s="14">
        <v>12356</v>
      </c>
      <c r="K15" s="15">
        <f>L15+12356</f>
        <v>12356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0.44696969696969691</v>
      </c>
      <c r="AF15" s="84">
        <f t="shared" si="8"/>
        <v>10</v>
      </c>
    </row>
    <row r="16" spans="1:32" ht="30" customHeight="1">
      <c r="A16" s="112">
        <v>11</v>
      </c>
      <c r="B16" s="11" t="s">
        <v>57</v>
      </c>
      <c r="C16" s="34" t="s">
        <v>138</v>
      </c>
      <c r="D16" s="52" t="s">
        <v>115</v>
      </c>
      <c r="E16" s="53" t="s">
        <v>253</v>
      </c>
      <c r="F16" s="30" t="s">
        <v>139</v>
      </c>
      <c r="G16" s="12">
        <v>2</v>
      </c>
      <c r="H16" s="13">
        <v>24</v>
      </c>
      <c r="I16" s="7">
        <v>160000</v>
      </c>
      <c r="J16" s="14">
        <v>8132</v>
      </c>
      <c r="K16" s="15">
        <f>L16</f>
        <v>8132</v>
      </c>
      <c r="L16" s="15">
        <f>2551*2+2775+255</f>
        <v>8132</v>
      </c>
      <c r="M16" s="15">
        <f t="shared" si="0"/>
        <v>8132</v>
      </c>
      <c r="N16" s="15">
        <v>0</v>
      </c>
      <c r="O16" s="58">
        <f t="shared" si="1"/>
        <v>0</v>
      </c>
      <c r="P16" s="39">
        <f t="shared" si="2"/>
        <v>23</v>
      </c>
      <c r="Q16" s="40">
        <f t="shared" si="3"/>
        <v>1</v>
      </c>
      <c r="R16" s="7"/>
      <c r="S16" s="6"/>
      <c r="T16" s="16">
        <v>1</v>
      </c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0.95833333333333337</v>
      </c>
      <c r="AD16" s="10">
        <f t="shared" si="6"/>
        <v>0.95833333333333337</v>
      </c>
      <c r="AE16" s="36">
        <f t="shared" si="7"/>
        <v>0.44696969696969691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163</v>
      </c>
      <c r="D17" s="52"/>
      <c r="E17" s="53" t="s">
        <v>225</v>
      </c>
      <c r="F17" s="30" t="s">
        <v>169</v>
      </c>
      <c r="G17" s="12">
        <v>1</v>
      </c>
      <c r="H17" s="13">
        <v>24</v>
      </c>
      <c r="I17" s="7">
        <v>6500</v>
      </c>
      <c r="J17" s="14">
        <v>6049</v>
      </c>
      <c r="K17" s="15">
        <f>L17+3680</f>
        <v>9729</v>
      </c>
      <c r="L17" s="15">
        <f>3040+3009</f>
        <v>6049</v>
      </c>
      <c r="M17" s="15">
        <f t="shared" si="0"/>
        <v>6049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6"/>
        <v>1</v>
      </c>
      <c r="AE17" s="36">
        <f t="shared" si="7"/>
        <v>0.44696969696969691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137</v>
      </c>
      <c r="E18" s="53" t="s">
        <v>191</v>
      </c>
      <c r="F18" s="30" t="s">
        <v>130</v>
      </c>
      <c r="G18" s="33">
        <v>1</v>
      </c>
      <c r="H18" s="35">
        <v>24</v>
      </c>
      <c r="I18" s="7">
        <v>180000</v>
      </c>
      <c r="J18" s="14">
        <v>11468</v>
      </c>
      <c r="K18" s="15">
        <f>L18+9952+11100+11616+11336</f>
        <v>55472</v>
      </c>
      <c r="L18" s="15">
        <f>2878*2+2856*2</f>
        <v>11468</v>
      </c>
      <c r="M18" s="15">
        <f t="shared" si="0"/>
        <v>11468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6"/>
        <v>1</v>
      </c>
      <c r="AE18" s="36">
        <f t="shared" si="7"/>
        <v>0.44696969696969691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138</v>
      </c>
      <c r="D19" s="52" t="s">
        <v>244</v>
      </c>
      <c r="E19" s="53" t="s">
        <v>238</v>
      </c>
      <c r="F19" s="30" t="s">
        <v>171</v>
      </c>
      <c r="G19" s="33">
        <v>1</v>
      </c>
      <c r="H19" s="35">
        <v>24</v>
      </c>
      <c r="I19" s="7">
        <v>1000</v>
      </c>
      <c r="J19" s="14">
        <v>2408</v>
      </c>
      <c r="K19" s="15">
        <f>L19</f>
        <v>2408</v>
      </c>
      <c r="L19" s="15">
        <f>207+2201</f>
        <v>2408</v>
      </c>
      <c r="M19" s="15">
        <f t="shared" si="0"/>
        <v>2408</v>
      </c>
      <c r="N19" s="15">
        <v>0</v>
      </c>
      <c r="O19" s="58">
        <f t="shared" si="1"/>
        <v>0</v>
      </c>
      <c r="P19" s="39">
        <f t="shared" si="2"/>
        <v>14</v>
      </c>
      <c r="Q19" s="40">
        <f t="shared" si="3"/>
        <v>10</v>
      </c>
      <c r="R19" s="7"/>
      <c r="S19" s="6">
        <v>10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0.58333333333333337</v>
      </c>
      <c r="AD19" s="10">
        <f t="shared" si="6"/>
        <v>0.58333333333333337</v>
      </c>
      <c r="AE19" s="36">
        <f t="shared" si="7"/>
        <v>0.44696969696969691</v>
      </c>
      <c r="AF19" s="84">
        <f t="shared" si="8"/>
        <v>14</v>
      </c>
    </row>
    <row r="20" spans="1:32" ht="30" customHeight="1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206</v>
      </c>
      <c r="G20" s="12">
        <v>2</v>
      </c>
      <c r="H20" s="13">
        <v>24</v>
      </c>
      <c r="I20" s="7">
        <v>230000</v>
      </c>
      <c r="J20" s="14">
        <v>10632</v>
      </c>
      <c r="K20" s="15">
        <f>L20+7008+11154+9077+8768+10676+10588+2521+7242+10236+10216+10614+10620</f>
        <v>119352</v>
      </c>
      <c r="L20" s="15">
        <f>2656*2+2660*2</f>
        <v>10632</v>
      </c>
      <c r="M20" s="15">
        <f t="shared" si="0"/>
        <v>10632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0.44696969696969691</v>
      </c>
      <c r="AF20" s="84">
        <f t="shared" si="8"/>
        <v>15</v>
      </c>
    </row>
    <row r="21" spans="1:32" ht="27" customHeight="1">
      <c r="A21" s="96">
        <v>16</v>
      </c>
      <c r="B21" s="11" t="s">
        <v>57</v>
      </c>
      <c r="C21" s="11" t="s">
        <v>113</v>
      </c>
      <c r="D21" s="52"/>
      <c r="E21" s="53" t="s">
        <v>134</v>
      </c>
      <c r="F21" s="12" t="s">
        <v>114</v>
      </c>
      <c r="G21" s="12">
        <v>4</v>
      </c>
      <c r="H21" s="35">
        <v>20</v>
      </c>
      <c r="I21" s="7">
        <v>1000000</v>
      </c>
      <c r="J21" s="14">
        <v>61688</v>
      </c>
      <c r="K21" s="15">
        <f>L21+52608+61640+61384+61404+61548+56540+56468+61848+61944</f>
        <v>597072</v>
      </c>
      <c r="L21" s="15">
        <f>7734*4+7688*4</f>
        <v>61688</v>
      </c>
      <c r="M21" s="15">
        <f t="shared" si="0"/>
        <v>61688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0.44696969696969691</v>
      </c>
      <c r="AF21" s="84">
        <f t="shared" si="8"/>
        <v>16</v>
      </c>
    </row>
    <row r="22" spans="1:32" ht="27" customHeight="1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0.44696969696969691</v>
      </c>
      <c r="AF22" s="84">
        <f t="shared" si="8"/>
        <v>31</v>
      </c>
    </row>
    <row r="23" spans="1:32" ht="27" customHeight="1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0.44696969696969691</v>
      </c>
      <c r="AF23" s="84">
        <f t="shared" si="8"/>
        <v>32</v>
      </c>
    </row>
    <row r="24" spans="1:32" ht="27" customHeight="1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3244</v>
      </c>
      <c r="K24" s="15">
        <f>L24+4387+7770+5806+7905+7479+7369+7360+2397+6904+7208+7013+6976+6992+2652+6495+7026+7051+7084+4297+6519+7042+3244</f>
        <v>136976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20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0.44696969696969691</v>
      </c>
      <c r="AF24" s="84">
        <f t="shared" si="8"/>
        <v>33</v>
      </c>
    </row>
    <row r="25" spans="1:32" ht="27" customHeight="1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0.44696969696969691</v>
      </c>
      <c r="AF25" s="84">
        <f t="shared" si="8"/>
        <v>34</v>
      </c>
    </row>
    <row r="26" spans="1:32" ht="27" customHeight="1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0.44696969696969691</v>
      </c>
      <c r="AF26" s="84">
        <f t="shared" si="8"/>
        <v>35</v>
      </c>
    </row>
    <row r="27" spans="1:32" ht="27" customHeight="1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700000</v>
      </c>
      <c r="J27" s="14">
        <v>89792</v>
      </c>
      <c r="K27" s="15">
        <f>L27+326528+448864+89792</f>
        <v>865184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0.44696969696969691</v>
      </c>
      <c r="AF27" s="84">
        <f t="shared" si="8"/>
        <v>36</v>
      </c>
    </row>
    <row r="28" spans="1:32" ht="31.5" customHeight="1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9">SUM(I6:I27)</f>
        <v>3501000</v>
      </c>
      <c r="J28" s="19">
        <f t="shared" si="9"/>
        <v>268886</v>
      </c>
      <c r="K28" s="20">
        <f t="shared" si="9"/>
        <v>2587262</v>
      </c>
      <c r="L28" s="21">
        <f t="shared" si="9"/>
        <v>127888</v>
      </c>
      <c r="M28" s="20">
        <f t="shared" si="9"/>
        <v>127888</v>
      </c>
      <c r="N28" s="21">
        <f t="shared" si="9"/>
        <v>0</v>
      </c>
      <c r="O28" s="41">
        <f t="shared" si="1"/>
        <v>0</v>
      </c>
      <c r="P28" s="42">
        <f t="shared" ref="P28:AA28" si="10">SUM(P6:P27)</f>
        <v>236</v>
      </c>
      <c r="Q28" s="43">
        <f t="shared" si="10"/>
        <v>292</v>
      </c>
      <c r="R28" s="23">
        <f t="shared" si="10"/>
        <v>14</v>
      </c>
      <c r="S28" s="24">
        <f t="shared" si="10"/>
        <v>37</v>
      </c>
      <c r="T28" s="24">
        <f t="shared" si="10"/>
        <v>1</v>
      </c>
      <c r="U28" s="24">
        <f t="shared" si="10"/>
        <v>0</v>
      </c>
      <c r="V28" s="25">
        <f t="shared" si="10"/>
        <v>72</v>
      </c>
      <c r="W28" s="26">
        <f t="shared" si="10"/>
        <v>168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0</v>
      </c>
      <c r="AB28" s="28">
        <f>AVERAGE(AB6:AB27)</f>
        <v>0.6</v>
      </c>
      <c r="AC28" s="4">
        <f>AVERAGE(AC6:AC27)</f>
        <v>0.44696969696969691</v>
      </c>
      <c r="AD28" s="4">
        <f>AVERAGE(AD6:AD27)</f>
        <v>0.44696969696969691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254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257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190" t="s">
        <v>46</v>
      </c>
      <c r="D57" s="190" t="s">
        <v>47</v>
      </c>
      <c r="E57" s="190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190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28" t="s">
        <v>138</v>
      </c>
      <c r="B58" s="529"/>
      <c r="C58" s="185" t="s">
        <v>161</v>
      </c>
      <c r="D58" s="185" t="s">
        <v>239</v>
      </c>
      <c r="E58" s="186" t="s">
        <v>238</v>
      </c>
      <c r="F58" s="530" t="s">
        <v>120</v>
      </c>
      <c r="G58" s="531"/>
      <c r="H58" s="531"/>
      <c r="I58" s="531"/>
      <c r="J58" s="531"/>
      <c r="K58" s="531"/>
      <c r="L58" s="531"/>
      <c r="M58" s="532"/>
      <c r="N58" s="189" t="s">
        <v>138</v>
      </c>
      <c r="O58" s="183" t="s">
        <v>156</v>
      </c>
      <c r="P58" s="544" t="s">
        <v>115</v>
      </c>
      <c r="Q58" s="545"/>
      <c r="R58" s="544" t="s">
        <v>253</v>
      </c>
      <c r="S58" s="546"/>
      <c r="T58" s="546"/>
      <c r="U58" s="545"/>
      <c r="V58" s="517" t="s">
        <v>120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28" t="s">
        <v>138</v>
      </c>
      <c r="B59" s="529"/>
      <c r="C59" s="185" t="s">
        <v>156</v>
      </c>
      <c r="D59" s="185" t="s">
        <v>242</v>
      </c>
      <c r="E59" s="186" t="s">
        <v>243</v>
      </c>
      <c r="F59" s="530" t="s">
        <v>124</v>
      </c>
      <c r="G59" s="531"/>
      <c r="H59" s="531"/>
      <c r="I59" s="531"/>
      <c r="J59" s="531"/>
      <c r="K59" s="531"/>
      <c r="L59" s="531"/>
      <c r="M59" s="532"/>
      <c r="N59" s="189" t="s">
        <v>112</v>
      </c>
      <c r="O59" s="183" t="s">
        <v>195</v>
      </c>
      <c r="P59" s="544" t="s">
        <v>135</v>
      </c>
      <c r="Q59" s="545"/>
      <c r="R59" s="544" t="s">
        <v>179</v>
      </c>
      <c r="S59" s="546"/>
      <c r="T59" s="546"/>
      <c r="U59" s="545"/>
      <c r="V59" s="517" t="s">
        <v>194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116</v>
      </c>
      <c r="B60" s="533"/>
      <c r="C60" s="186" t="s">
        <v>201</v>
      </c>
      <c r="D60" s="186" t="s">
        <v>135</v>
      </c>
      <c r="E60" s="186" t="s">
        <v>202</v>
      </c>
      <c r="F60" s="530" t="s">
        <v>120</v>
      </c>
      <c r="G60" s="531"/>
      <c r="H60" s="531"/>
      <c r="I60" s="531"/>
      <c r="J60" s="531"/>
      <c r="K60" s="531"/>
      <c r="L60" s="531"/>
      <c r="M60" s="532"/>
      <c r="N60" s="189" t="s">
        <v>138</v>
      </c>
      <c r="O60" s="183" t="s">
        <v>210</v>
      </c>
      <c r="P60" s="544" t="s">
        <v>259</v>
      </c>
      <c r="Q60" s="545"/>
      <c r="R60" s="544" t="s">
        <v>258</v>
      </c>
      <c r="S60" s="546"/>
      <c r="T60" s="546"/>
      <c r="U60" s="545"/>
      <c r="V60" s="517" t="s">
        <v>124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138</v>
      </c>
      <c r="B61" s="533"/>
      <c r="C61" s="186" t="s">
        <v>210</v>
      </c>
      <c r="D61" s="186" t="s">
        <v>115</v>
      </c>
      <c r="E61" s="186" t="s">
        <v>253</v>
      </c>
      <c r="F61" s="530" t="s">
        <v>255</v>
      </c>
      <c r="G61" s="531"/>
      <c r="H61" s="531"/>
      <c r="I61" s="531"/>
      <c r="J61" s="531"/>
      <c r="K61" s="531"/>
      <c r="L61" s="531"/>
      <c r="M61" s="532"/>
      <c r="N61" s="189" t="s">
        <v>112</v>
      </c>
      <c r="O61" s="183" t="s">
        <v>167</v>
      </c>
      <c r="P61" s="544" t="s">
        <v>115</v>
      </c>
      <c r="Q61" s="545"/>
      <c r="R61" s="544" t="s">
        <v>260</v>
      </c>
      <c r="S61" s="546"/>
      <c r="T61" s="546"/>
      <c r="U61" s="545"/>
      <c r="V61" s="517" t="s">
        <v>124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 t="s">
        <v>138</v>
      </c>
      <c r="B62" s="533"/>
      <c r="C62" s="186" t="s">
        <v>217</v>
      </c>
      <c r="D62" s="186" t="s">
        <v>142</v>
      </c>
      <c r="E62" s="186" t="s">
        <v>241</v>
      </c>
      <c r="F62" s="530" t="s">
        <v>256</v>
      </c>
      <c r="G62" s="531"/>
      <c r="H62" s="531"/>
      <c r="I62" s="531"/>
      <c r="J62" s="531"/>
      <c r="K62" s="531"/>
      <c r="L62" s="531"/>
      <c r="M62" s="532"/>
      <c r="N62" s="189"/>
      <c r="O62" s="183"/>
      <c r="P62" s="544"/>
      <c r="Q62" s="545"/>
      <c r="R62" s="544"/>
      <c r="S62" s="546"/>
      <c r="T62" s="546"/>
      <c r="U62" s="545"/>
      <c r="V62" s="517"/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/>
      <c r="B63" s="533"/>
      <c r="C63" s="186"/>
      <c r="D63" s="186"/>
      <c r="E63" s="186"/>
      <c r="F63" s="530"/>
      <c r="G63" s="531"/>
      <c r="H63" s="531"/>
      <c r="I63" s="531"/>
      <c r="J63" s="531"/>
      <c r="K63" s="531"/>
      <c r="L63" s="531"/>
      <c r="M63" s="532"/>
      <c r="N63" s="189"/>
      <c r="O63" s="183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186"/>
      <c r="D64" s="186"/>
      <c r="E64" s="186"/>
      <c r="F64" s="530"/>
      <c r="G64" s="531"/>
      <c r="H64" s="531"/>
      <c r="I64" s="531"/>
      <c r="J64" s="531"/>
      <c r="K64" s="531"/>
      <c r="L64" s="531"/>
      <c r="M64" s="532"/>
      <c r="N64" s="189"/>
      <c r="O64" s="183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185"/>
      <c r="D65" s="185"/>
      <c r="E65" s="186"/>
      <c r="F65" s="530"/>
      <c r="G65" s="531"/>
      <c r="H65" s="531"/>
      <c r="I65" s="531"/>
      <c r="J65" s="531"/>
      <c r="K65" s="531"/>
      <c r="L65" s="531"/>
      <c r="M65" s="532"/>
      <c r="N65" s="189"/>
      <c r="O65" s="183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185"/>
      <c r="D66" s="185"/>
      <c r="E66" s="186"/>
      <c r="F66" s="530"/>
      <c r="G66" s="531"/>
      <c r="H66" s="531"/>
      <c r="I66" s="531"/>
      <c r="J66" s="531"/>
      <c r="K66" s="531"/>
      <c r="L66" s="531"/>
      <c r="M66" s="532"/>
      <c r="N66" s="189"/>
      <c r="O66" s="183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187"/>
      <c r="D67" s="188"/>
      <c r="E67" s="187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261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184" t="s">
        <v>2</v>
      </c>
      <c r="D69" s="184" t="s">
        <v>37</v>
      </c>
      <c r="E69" s="184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184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 t="s">
        <v>112</v>
      </c>
      <c r="D70" s="179"/>
      <c r="E70" s="182" t="s">
        <v>115</v>
      </c>
      <c r="F70" s="518" t="s">
        <v>246</v>
      </c>
      <c r="G70" s="519"/>
      <c r="H70" s="519"/>
      <c r="I70" s="519"/>
      <c r="J70" s="520"/>
      <c r="K70" s="504" t="s">
        <v>233</v>
      </c>
      <c r="L70" s="504"/>
      <c r="M70" s="51" t="s">
        <v>216</v>
      </c>
      <c r="N70" s="515" t="s">
        <v>156</v>
      </c>
      <c r="O70" s="515"/>
      <c r="P70" s="516">
        <v>50</v>
      </c>
      <c r="Q70" s="516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 t="s">
        <v>163</v>
      </c>
      <c r="D71" s="179"/>
      <c r="E71" s="182"/>
      <c r="F71" s="518" t="s">
        <v>204</v>
      </c>
      <c r="G71" s="519"/>
      <c r="H71" s="519"/>
      <c r="I71" s="519"/>
      <c r="J71" s="520"/>
      <c r="K71" s="504" t="s">
        <v>206</v>
      </c>
      <c r="L71" s="504"/>
      <c r="M71" s="51" t="s">
        <v>229</v>
      </c>
      <c r="N71" s="515" t="s">
        <v>230</v>
      </c>
      <c r="O71" s="515"/>
      <c r="P71" s="516">
        <v>300</v>
      </c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/>
      <c r="D72" s="179"/>
      <c r="E72" s="182"/>
      <c r="F72" s="518"/>
      <c r="G72" s="519"/>
      <c r="H72" s="519"/>
      <c r="I72" s="519"/>
      <c r="J72" s="520"/>
      <c r="K72" s="504"/>
      <c r="L72" s="504"/>
      <c r="M72" s="51"/>
      <c r="N72" s="515"/>
      <c r="O72" s="515"/>
      <c r="P72" s="516"/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/>
      <c r="D73" s="179"/>
      <c r="E73" s="182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/>
      <c r="D74" s="179"/>
      <c r="E74" s="182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/>
      <c r="D75" s="179"/>
      <c r="E75" s="182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/>
      <c r="D76" s="179"/>
      <c r="E76" s="182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179"/>
      <c r="E77" s="182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179"/>
      <c r="E78" s="182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179"/>
      <c r="E79" s="182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263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181" t="s">
        <v>2</v>
      </c>
      <c r="D81" s="181" t="s">
        <v>37</v>
      </c>
      <c r="E81" s="181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180"/>
      <c r="D82" s="180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179"/>
      <c r="D83" s="179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1">A83+1</f>
        <v>3</v>
      </c>
      <c r="B84" s="472"/>
      <c r="C84" s="179"/>
      <c r="D84" s="179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1"/>
        <v>4</v>
      </c>
      <c r="B85" s="472"/>
      <c r="C85" s="179"/>
      <c r="D85" s="179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1"/>
        <v>5</v>
      </c>
      <c r="B86" s="472"/>
      <c r="C86" s="179"/>
      <c r="D86" s="179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1"/>
        <v>6</v>
      </c>
      <c r="B87" s="472"/>
      <c r="C87" s="179"/>
      <c r="D87" s="179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1"/>
        <v>7</v>
      </c>
      <c r="B88" s="472"/>
      <c r="C88" s="179"/>
      <c r="D88" s="179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262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 t="s">
        <v>129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6" fitToHeight="2" orientation="landscape" r:id="rId1"/>
  <rowBreaks count="1" manualBreakCount="1">
    <brk id="53" max="2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5DD3-FD47-48B7-97D0-E17D92B05511}">
  <dimension ref="A1:AF93"/>
  <sheetViews>
    <sheetView view="pageBreakPreview" zoomScale="70" zoomScaleNormal="72" zoomScaleSheetLayoutView="70" workbookViewId="0">
      <selection activeCell="A90" sqref="A90:B9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264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191" t="s">
        <v>17</v>
      </c>
      <c r="L5" s="191" t="s">
        <v>18</v>
      </c>
      <c r="M5" s="191" t="s">
        <v>19</v>
      </c>
      <c r="N5" s="19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112</v>
      </c>
      <c r="D6" s="52" t="s">
        <v>127</v>
      </c>
      <c r="E6" s="53" t="s">
        <v>180</v>
      </c>
      <c r="F6" s="30" t="s">
        <v>141</v>
      </c>
      <c r="G6" s="12">
        <v>2</v>
      </c>
      <c r="H6" s="13">
        <v>24</v>
      </c>
      <c r="I6" s="31">
        <v>185000</v>
      </c>
      <c r="J6" s="14">
        <v>11640</v>
      </c>
      <c r="K6" s="15">
        <f>L6+5840+11504+11434+11462+11458+11584+10978+11678+11622+11070</f>
        <v>120270</v>
      </c>
      <c r="L6" s="15">
        <f>2869*2+2951*2</f>
        <v>11640</v>
      </c>
      <c r="M6" s="15">
        <f t="shared" ref="M6:M27" si="0">L6-N6</f>
        <v>11640</v>
      </c>
      <c r="N6" s="15">
        <v>0</v>
      </c>
      <c r="O6" s="58">
        <f t="shared" ref="O6:O28" si="1">IF(L6=0,"0",N6/L6)</f>
        <v>0</v>
      </c>
      <c r="P6" s="39">
        <f t="shared" ref="P6:P27" si="2">IF(L6=0,"0",(24-Q6))</f>
        <v>24</v>
      </c>
      <c r="Q6" s="40">
        <f t="shared" ref="Q6:Q27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27" si="4">IF(J6=0,"0",(L6/J6))</f>
        <v>1</v>
      </c>
      <c r="AC6" s="9">
        <f t="shared" ref="AC6:AC27" si="5">IF(P6=0,"0",(P6/24))</f>
        <v>1</v>
      </c>
      <c r="AD6" s="10">
        <f t="shared" ref="AD6:AD27" si="6">AC6*AB6*(1-O6)</f>
        <v>1</v>
      </c>
      <c r="AE6" s="36">
        <f t="shared" ref="AE6:AE27" si="7">$AD$28</f>
        <v>0.45454545454545453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190000</v>
      </c>
      <c r="J7" s="14">
        <v>10130</v>
      </c>
      <c r="K7" s="15">
        <f>L7+2217</f>
        <v>12347</v>
      </c>
      <c r="L7" s="15">
        <f>2935*2+1100+1580*2</f>
        <v>10130</v>
      </c>
      <c r="M7" s="15">
        <f t="shared" si="0"/>
        <v>10130</v>
      </c>
      <c r="N7" s="15">
        <v>0</v>
      </c>
      <c r="O7" s="58">
        <f t="shared" si="1"/>
        <v>0</v>
      </c>
      <c r="P7" s="39">
        <f t="shared" si="2"/>
        <v>23</v>
      </c>
      <c r="Q7" s="40">
        <f t="shared" si="3"/>
        <v>1</v>
      </c>
      <c r="R7" s="7"/>
      <c r="S7" s="6">
        <v>1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0.95833333333333337</v>
      </c>
      <c r="AD7" s="10">
        <f t="shared" si="6"/>
        <v>0.95833333333333337</v>
      </c>
      <c r="AE7" s="36">
        <f t="shared" si="7"/>
        <v>0.45454545454545453</v>
      </c>
      <c r="AF7" s="84">
        <f t="shared" si="8"/>
        <v>2</v>
      </c>
    </row>
    <row r="8" spans="1:32" ht="30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160000</v>
      </c>
      <c r="J8" s="14">
        <v>2262</v>
      </c>
      <c r="K8" s="15">
        <f>L8+8132</f>
        <v>10394</v>
      </c>
      <c r="L8" s="15">
        <f>178*2+953*2</f>
        <v>2262</v>
      </c>
      <c r="M8" s="15">
        <f t="shared" ref="M8" si="9">L8-N8</f>
        <v>2262</v>
      </c>
      <c r="N8" s="15">
        <v>0</v>
      </c>
      <c r="O8" s="58">
        <f t="shared" ref="O8" si="10">IF(L8=0,"0",N8/L8)</f>
        <v>0</v>
      </c>
      <c r="P8" s="39">
        <f t="shared" ref="P8" si="11">IF(L8=0,"0",(24-Q8))</f>
        <v>5</v>
      </c>
      <c r="Q8" s="40">
        <f t="shared" ref="Q8" si="12">SUM(R8:AA8)</f>
        <v>19</v>
      </c>
      <c r="R8" s="7"/>
      <c r="S8" s="6">
        <v>19</v>
      </c>
      <c r="T8" s="16"/>
      <c r="U8" s="16"/>
      <c r="V8" s="17"/>
      <c r="W8" s="5"/>
      <c r="X8" s="16"/>
      <c r="Y8" s="16"/>
      <c r="Z8" s="16"/>
      <c r="AA8" s="18"/>
      <c r="AB8" s="8">
        <f t="shared" ref="AB8" si="13">IF(J8=0,"0",(L8/J8))</f>
        <v>1</v>
      </c>
      <c r="AC8" s="9">
        <f t="shared" ref="AC8" si="14">IF(P8=0,"0",(P8/24))</f>
        <v>0.20833333333333334</v>
      </c>
      <c r="AD8" s="10">
        <f t="shared" ref="AD8" si="15">AC8*AB8*(1-O8)</f>
        <v>0.20833333333333334</v>
      </c>
      <c r="AE8" s="36">
        <f t="shared" si="7"/>
        <v>0.45454545454545453</v>
      </c>
      <c r="AF8" s="84">
        <f t="shared" ref="AF8" si="16">A8</f>
        <v>3</v>
      </c>
    </row>
    <row r="9" spans="1:32" ht="27" customHeight="1">
      <c r="A9" s="96">
        <v>4</v>
      </c>
      <c r="B9" s="11" t="s">
        <v>57</v>
      </c>
      <c r="C9" s="34" t="s">
        <v>116</v>
      </c>
      <c r="D9" s="52" t="s">
        <v>115</v>
      </c>
      <c r="E9" s="53" t="s">
        <v>197</v>
      </c>
      <c r="F9" s="30" t="s">
        <v>171</v>
      </c>
      <c r="G9" s="12">
        <v>1</v>
      </c>
      <c r="H9" s="13">
        <v>24</v>
      </c>
      <c r="I9" s="7">
        <v>17000</v>
      </c>
      <c r="J9" s="14">
        <v>2239</v>
      </c>
      <c r="K9" s="15">
        <f>L9+3449+2796+3887+2239</f>
        <v>12371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>
        <v>24</v>
      </c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0.45454545454545453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163</v>
      </c>
      <c r="D10" s="52"/>
      <c r="E10" s="53" t="s">
        <v>204</v>
      </c>
      <c r="F10" s="30" t="s">
        <v>205</v>
      </c>
      <c r="G10" s="33">
        <v>2</v>
      </c>
      <c r="H10" s="35">
        <v>24</v>
      </c>
      <c r="I10" s="7">
        <v>100000</v>
      </c>
      <c r="J10" s="14">
        <v>10206</v>
      </c>
      <c r="K10" s="15">
        <f>L10</f>
        <v>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>
        <v>24</v>
      </c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6"/>
        <v>0</v>
      </c>
      <c r="AE10" s="36">
        <f t="shared" si="7"/>
        <v>0.45454545454545453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123</v>
      </c>
      <c r="E11" s="53" t="s">
        <v>202</v>
      </c>
      <c r="F11" s="30" t="s">
        <v>128</v>
      </c>
      <c r="G11" s="33">
        <v>1</v>
      </c>
      <c r="H11" s="35">
        <v>24</v>
      </c>
      <c r="I11" s="7">
        <v>17000</v>
      </c>
      <c r="J11" s="14">
        <v>4270</v>
      </c>
      <c r="K11" s="15">
        <f>L11+117+2187+4140</f>
        <v>10714</v>
      </c>
      <c r="L11" s="15">
        <f>920+3350</f>
        <v>4270</v>
      </c>
      <c r="M11" s="15">
        <f t="shared" si="0"/>
        <v>4270</v>
      </c>
      <c r="N11" s="15">
        <v>0</v>
      </c>
      <c r="O11" s="58">
        <f t="shared" si="1"/>
        <v>0</v>
      </c>
      <c r="P11" s="39">
        <f t="shared" si="2"/>
        <v>20</v>
      </c>
      <c r="Q11" s="40">
        <f t="shared" si="3"/>
        <v>4</v>
      </c>
      <c r="R11" s="7"/>
      <c r="S11" s="6">
        <v>4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0.83333333333333337</v>
      </c>
      <c r="AD11" s="10">
        <f t="shared" si="6"/>
        <v>0.83333333333333337</v>
      </c>
      <c r="AE11" s="36">
        <f t="shared" si="7"/>
        <v>0.45454545454545453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116</v>
      </c>
      <c r="D12" s="52" t="s">
        <v>115</v>
      </c>
      <c r="E12" s="53" t="s">
        <v>176</v>
      </c>
      <c r="F12" s="30" t="s">
        <v>148</v>
      </c>
      <c r="G12" s="12">
        <v>1</v>
      </c>
      <c r="H12" s="13">
        <v>22</v>
      </c>
      <c r="I12" s="31">
        <v>80000</v>
      </c>
      <c r="J12" s="5">
        <v>5555</v>
      </c>
      <c r="K12" s="15">
        <f>L12+3050+5463+5497+6377+5244+5460+5580+5482+5489+5556+3742+5513+5475+4332+5489+5313+5297+5483+5486+5473</f>
        <v>110356</v>
      </c>
      <c r="L12" s="15">
        <f>2809+2746</f>
        <v>5555</v>
      </c>
      <c r="M12" s="15">
        <f t="shared" si="0"/>
        <v>5555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6"/>
        <v>1</v>
      </c>
      <c r="AE12" s="36">
        <f t="shared" si="7"/>
        <v>0.45454545454545453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123</v>
      </c>
      <c r="E13" s="53" t="s">
        <v>179</v>
      </c>
      <c r="F13" s="30" t="s">
        <v>128</v>
      </c>
      <c r="G13" s="33">
        <v>2</v>
      </c>
      <c r="H13" s="35">
        <v>35</v>
      </c>
      <c r="I13" s="7">
        <v>190000</v>
      </c>
      <c r="J13" s="14">
        <v>6644</v>
      </c>
      <c r="K13" s="15">
        <f>L13</f>
        <v>6644</v>
      </c>
      <c r="L13" s="15">
        <f>3322*2</f>
        <v>6644</v>
      </c>
      <c r="M13" s="15">
        <f t="shared" si="0"/>
        <v>6644</v>
      </c>
      <c r="N13" s="15">
        <v>0</v>
      </c>
      <c r="O13" s="58">
        <f t="shared" si="1"/>
        <v>0</v>
      </c>
      <c r="P13" s="39">
        <f t="shared" si="2"/>
        <v>15</v>
      </c>
      <c r="Q13" s="40">
        <f t="shared" si="3"/>
        <v>9</v>
      </c>
      <c r="R13" s="7"/>
      <c r="S13" s="6"/>
      <c r="T13" s="16"/>
      <c r="U13" s="16"/>
      <c r="V13" s="17">
        <v>9</v>
      </c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0.625</v>
      </c>
      <c r="AD13" s="10">
        <f t="shared" si="6"/>
        <v>0.625</v>
      </c>
      <c r="AE13" s="36">
        <f t="shared" si="7"/>
        <v>0.45454545454545453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112</v>
      </c>
      <c r="D14" s="52" t="s">
        <v>115</v>
      </c>
      <c r="E14" s="53" t="s">
        <v>181</v>
      </c>
      <c r="F14" s="30" t="s">
        <v>171</v>
      </c>
      <c r="G14" s="33">
        <v>1</v>
      </c>
      <c r="H14" s="35">
        <v>50</v>
      </c>
      <c r="I14" s="7">
        <v>500</v>
      </c>
      <c r="J14" s="5">
        <v>608</v>
      </c>
      <c r="K14" s="15">
        <f>L14+290+608</f>
        <v>898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0.45454545454545453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12000</v>
      </c>
      <c r="J15" s="14">
        <v>12356</v>
      </c>
      <c r="K15" s="15">
        <f>L15+12356</f>
        <v>12356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0.45454545454545453</v>
      </c>
      <c r="AF15" s="84">
        <f t="shared" si="8"/>
        <v>10</v>
      </c>
    </row>
    <row r="16" spans="1:32" ht="30" customHeight="1">
      <c r="A16" s="112">
        <v>11</v>
      </c>
      <c r="B16" s="11" t="s">
        <v>57</v>
      </c>
      <c r="C16" s="34" t="s">
        <v>138</v>
      </c>
      <c r="D16" s="52" t="s">
        <v>265</v>
      </c>
      <c r="E16" s="53" t="s">
        <v>259</v>
      </c>
      <c r="F16" s="30" t="s">
        <v>128</v>
      </c>
      <c r="G16" s="12">
        <v>1</v>
      </c>
      <c r="H16" s="13">
        <v>24</v>
      </c>
      <c r="I16" s="7">
        <v>3000</v>
      </c>
      <c r="J16" s="14">
        <v>2757</v>
      </c>
      <c r="K16" s="15">
        <f>L16</f>
        <v>2757</v>
      </c>
      <c r="L16" s="15">
        <f>602+2155</f>
        <v>2757</v>
      </c>
      <c r="M16" s="15">
        <f t="shared" si="0"/>
        <v>2757</v>
      </c>
      <c r="N16" s="15">
        <v>0</v>
      </c>
      <c r="O16" s="58">
        <f t="shared" si="1"/>
        <v>0</v>
      </c>
      <c r="P16" s="39">
        <f t="shared" si="2"/>
        <v>17</v>
      </c>
      <c r="Q16" s="40">
        <f t="shared" si="3"/>
        <v>7</v>
      </c>
      <c r="R16" s="7"/>
      <c r="S16" s="6">
        <v>7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0.70833333333333337</v>
      </c>
      <c r="AD16" s="10">
        <f t="shared" si="6"/>
        <v>0.70833333333333337</v>
      </c>
      <c r="AE16" s="36">
        <f t="shared" si="7"/>
        <v>0.45454545454545453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163</v>
      </c>
      <c r="D17" s="52"/>
      <c r="E17" s="53" t="s">
        <v>225</v>
      </c>
      <c r="F17" s="30" t="s">
        <v>169</v>
      </c>
      <c r="G17" s="12">
        <v>1</v>
      </c>
      <c r="H17" s="13">
        <v>24</v>
      </c>
      <c r="I17" s="7">
        <v>6500</v>
      </c>
      <c r="J17" s="14">
        <v>4690</v>
      </c>
      <c r="K17" s="15">
        <f>L17+3680+6049</f>
        <v>14419</v>
      </c>
      <c r="L17" s="15">
        <f>3107+1583</f>
        <v>4690</v>
      </c>
      <c r="M17" s="15">
        <f t="shared" si="0"/>
        <v>4690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6"/>
        <v>1</v>
      </c>
      <c r="AE17" s="36">
        <f t="shared" si="7"/>
        <v>0.45454545454545453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137</v>
      </c>
      <c r="E18" s="53" t="s">
        <v>191</v>
      </c>
      <c r="F18" s="30" t="s">
        <v>130</v>
      </c>
      <c r="G18" s="33">
        <v>1</v>
      </c>
      <c r="H18" s="35">
        <v>24</v>
      </c>
      <c r="I18" s="7">
        <v>180000</v>
      </c>
      <c r="J18" s="14">
        <v>11654</v>
      </c>
      <c r="K18" s="15">
        <f>L18+9952+11100+11616+11336+11468</f>
        <v>67126</v>
      </c>
      <c r="L18" s="15">
        <f>2876*2+2951*2</f>
        <v>11654</v>
      </c>
      <c r="M18" s="15">
        <f t="shared" si="0"/>
        <v>11654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6"/>
        <v>1</v>
      </c>
      <c r="AE18" s="36">
        <f t="shared" si="7"/>
        <v>0.45454545454545453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112</v>
      </c>
      <c r="D19" s="52" t="s">
        <v>123</v>
      </c>
      <c r="E19" s="53" t="s">
        <v>266</v>
      </c>
      <c r="F19" s="30" t="s">
        <v>128</v>
      </c>
      <c r="G19" s="33">
        <v>1</v>
      </c>
      <c r="H19" s="35">
        <v>24</v>
      </c>
      <c r="I19" s="7">
        <v>3000</v>
      </c>
      <c r="J19" s="14">
        <v>3173</v>
      </c>
      <c r="K19" s="15">
        <f>L19</f>
        <v>3173</v>
      </c>
      <c r="L19" s="15">
        <f>346+2827</f>
        <v>3173</v>
      </c>
      <c r="M19" s="15">
        <f t="shared" si="0"/>
        <v>3173</v>
      </c>
      <c r="N19" s="15">
        <v>0</v>
      </c>
      <c r="O19" s="58">
        <f t="shared" si="1"/>
        <v>0</v>
      </c>
      <c r="P19" s="39">
        <f t="shared" si="2"/>
        <v>16</v>
      </c>
      <c r="Q19" s="40">
        <f t="shared" si="3"/>
        <v>8</v>
      </c>
      <c r="R19" s="7"/>
      <c r="S19" s="6">
        <v>8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0.66666666666666663</v>
      </c>
      <c r="AD19" s="10">
        <f t="shared" si="6"/>
        <v>0.66666666666666663</v>
      </c>
      <c r="AE19" s="36">
        <f t="shared" si="7"/>
        <v>0.45454545454545453</v>
      </c>
      <c r="AF19" s="84">
        <f t="shared" si="8"/>
        <v>14</v>
      </c>
    </row>
    <row r="20" spans="1:32" ht="30" customHeight="1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206</v>
      </c>
      <c r="G20" s="12">
        <v>2</v>
      </c>
      <c r="H20" s="13">
        <v>24</v>
      </c>
      <c r="I20" s="7">
        <v>230000</v>
      </c>
      <c r="J20" s="14">
        <v>10760</v>
      </c>
      <c r="K20" s="15">
        <f>L20+7008+11154+9077+8768+10676+10588+2521+7242+10236+10216+10614+10620+10632</f>
        <v>130112</v>
      </c>
      <c r="L20" s="15">
        <f>2732*2+2648*2</f>
        <v>10760</v>
      </c>
      <c r="M20" s="15">
        <f t="shared" si="0"/>
        <v>10760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0.45454545454545453</v>
      </c>
      <c r="AF20" s="84">
        <f t="shared" si="8"/>
        <v>15</v>
      </c>
    </row>
    <row r="21" spans="1:32" ht="27" customHeight="1">
      <c r="A21" s="96">
        <v>16</v>
      </c>
      <c r="B21" s="11" t="s">
        <v>57</v>
      </c>
      <c r="C21" s="11" t="s">
        <v>113</v>
      </c>
      <c r="D21" s="52"/>
      <c r="E21" s="53" t="s">
        <v>134</v>
      </c>
      <c r="F21" s="12" t="s">
        <v>114</v>
      </c>
      <c r="G21" s="12">
        <v>4</v>
      </c>
      <c r="H21" s="35">
        <v>20</v>
      </c>
      <c r="I21" s="7">
        <v>1000000</v>
      </c>
      <c r="J21" s="14">
        <v>54824</v>
      </c>
      <c r="K21" s="15">
        <f>L21+52608+61640+61384+61404+61548+56540+56468+61848+61944+61688</f>
        <v>651896</v>
      </c>
      <c r="L21" s="15">
        <f>7940*4+5766*4</f>
        <v>54824</v>
      </c>
      <c r="M21" s="15">
        <f t="shared" si="0"/>
        <v>54824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0.45454545454545453</v>
      </c>
      <c r="AF21" s="84">
        <f t="shared" si="8"/>
        <v>16</v>
      </c>
    </row>
    <row r="22" spans="1:32" ht="27" customHeight="1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0.45454545454545453</v>
      </c>
      <c r="AF22" s="84">
        <f t="shared" si="8"/>
        <v>31</v>
      </c>
    </row>
    <row r="23" spans="1:32" ht="27" customHeight="1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0.45454545454545453</v>
      </c>
      <c r="AF23" s="84">
        <f t="shared" si="8"/>
        <v>32</v>
      </c>
    </row>
    <row r="24" spans="1:32" ht="27" customHeight="1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3244</v>
      </c>
      <c r="K24" s="15">
        <f>L24+4387+7770+5806+7905+7479+7369+7360+2397+6904+7208+7013+6976+6992+2652+6495+7026+7051+7084+4297+6519+7042+3244</f>
        <v>136976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20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0.45454545454545453</v>
      </c>
      <c r="AF24" s="84">
        <f t="shared" si="8"/>
        <v>33</v>
      </c>
    </row>
    <row r="25" spans="1:32" ht="27" customHeight="1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0.45454545454545453</v>
      </c>
      <c r="AF25" s="84">
        <f t="shared" si="8"/>
        <v>34</v>
      </c>
    </row>
    <row r="26" spans="1:32" ht="27" customHeight="1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0.45454545454545453</v>
      </c>
      <c r="AF26" s="84">
        <f t="shared" si="8"/>
        <v>35</v>
      </c>
    </row>
    <row r="27" spans="1:32" ht="27" customHeight="1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700000</v>
      </c>
      <c r="J27" s="14">
        <v>89792</v>
      </c>
      <c r="K27" s="15">
        <f>L27+326528+448864+89792</f>
        <v>865184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0.45454545454545453</v>
      </c>
      <c r="AF27" s="84">
        <f t="shared" si="8"/>
        <v>36</v>
      </c>
    </row>
    <row r="28" spans="1:32" ht="31.5" customHeight="1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17">SUM(I6:I27)</f>
        <v>3694000</v>
      </c>
      <c r="J28" s="19">
        <f t="shared" si="17"/>
        <v>268392</v>
      </c>
      <c r="K28" s="20">
        <f t="shared" si="17"/>
        <v>2707637</v>
      </c>
      <c r="L28" s="21">
        <f t="shared" si="17"/>
        <v>128359</v>
      </c>
      <c r="M28" s="20">
        <f t="shared" si="17"/>
        <v>128359</v>
      </c>
      <c r="N28" s="21">
        <f t="shared" si="17"/>
        <v>0</v>
      </c>
      <c r="O28" s="41">
        <f t="shared" si="1"/>
        <v>0</v>
      </c>
      <c r="P28" s="42">
        <f t="shared" ref="P28:AA28" si="18">SUM(P6:P27)</f>
        <v>240</v>
      </c>
      <c r="Q28" s="43">
        <f t="shared" si="18"/>
        <v>288</v>
      </c>
      <c r="R28" s="23">
        <f t="shared" si="18"/>
        <v>24</v>
      </c>
      <c r="S28" s="24">
        <f t="shared" si="18"/>
        <v>39</v>
      </c>
      <c r="T28" s="24">
        <f t="shared" si="18"/>
        <v>0</v>
      </c>
      <c r="U28" s="24">
        <f t="shared" si="18"/>
        <v>0</v>
      </c>
      <c r="V28" s="25">
        <f t="shared" si="18"/>
        <v>81</v>
      </c>
      <c r="W28" s="26">
        <f t="shared" si="18"/>
        <v>144</v>
      </c>
      <c r="X28" s="27">
        <f t="shared" si="18"/>
        <v>0</v>
      </c>
      <c r="Y28" s="27">
        <f t="shared" si="18"/>
        <v>0</v>
      </c>
      <c r="Z28" s="27">
        <f t="shared" si="18"/>
        <v>0</v>
      </c>
      <c r="AA28" s="27">
        <f t="shared" si="18"/>
        <v>0</v>
      </c>
      <c r="AB28" s="28">
        <f>AVERAGE(AB6:AB27)</f>
        <v>0.6</v>
      </c>
      <c r="AC28" s="4">
        <f>AVERAGE(AC6:AC27)</f>
        <v>0.45454545454545453</v>
      </c>
      <c r="AD28" s="4">
        <f>AVERAGE(AD6:AD27)</f>
        <v>0.45454545454545453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267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273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190" t="s">
        <v>46</v>
      </c>
      <c r="D57" s="190" t="s">
        <v>47</v>
      </c>
      <c r="E57" s="190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190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43" t="s">
        <v>138</v>
      </c>
      <c r="B58" s="533"/>
      <c r="C58" s="192" t="s">
        <v>217</v>
      </c>
      <c r="D58" s="192" t="s">
        <v>142</v>
      </c>
      <c r="E58" s="192" t="s">
        <v>241</v>
      </c>
      <c r="F58" s="530" t="s">
        <v>268</v>
      </c>
      <c r="G58" s="531"/>
      <c r="H58" s="531"/>
      <c r="I58" s="531"/>
      <c r="J58" s="531"/>
      <c r="K58" s="531"/>
      <c r="L58" s="531"/>
      <c r="M58" s="532"/>
      <c r="N58" s="189" t="s">
        <v>138</v>
      </c>
      <c r="O58" s="183" t="s">
        <v>210</v>
      </c>
      <c r="P58" s="544" t="s">
        <v>115</v>
      </c>
      <c r="Q58" s="545"/>
      <c r="R58" s="544" t="s">
        <v>274</v>
      </c>
      <c r="S58" s="546"/>
      <c r="T58" s="546"/>
      <c r="U58" s="545"/>
      <c r="V58" s="517" t="s">
        <v>124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43" t="s">
        <v>138</v>
      </c>
      <c r="B59" s="533"/>
      <c r="C59" s="192" t="s">
        <v>156</v>
      </c>
      <c r="D59" s="192" t="s">
        <v>115</v>
      </c>
      <c r="E59" s="192" t="s">
        <v>253</v>
      </c>
      <c r="F59" s="530" t="s">
        <v>269</v>
      </c>
      <c r="G59" s="531"/>
      <c r="H59" s="531"/>
      <c r="I59" s="531"/>
      <c r="J59" s="531"/>
      <c r="K59" s="531"/>
      <c r="L59" s="531"/>
      <c r="M59" s="532"/>
      <c r="N59" s="189" t="s">
        <v>138</v>
      </c>
      <c r="O59" s="183" t="s">
        <v>156</v>
      </c>
      <c r="P59" s="544" t="s">
        <v>115</v>
      </c>
      <c r="Q59" s="545"/>
      <c r="R59" s="544" t="s">
        <v>253</v>
      </c>
      <c r="S59" s="546"/>
      <c r="T59" s="546"/>
      <c r="U59" s="545"/>
      <c r="V59" s="517" t="s">
        <v>120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116</v>
      </c>
      <c r="B60" s="533"/>
      <c r="C60" s="186" t="s">
        <v>201</v>
      </c>
      <c r="D60" s="186" t="s">
        <v>135</v>
      </c>
      <c r="E60" s="186" t="s">
        <v>202</v>
      </c>
      <c r="F60" s="530" t="s">
        <v>270</v>
      </c>
      <c r="G60" s="531"/>
      <c r="H60" s="531"/>
      <c r="I60" s="531"/>
      <c r="J60" s="531"/>
      <c r="K60" s="531"/>
      <c r="L60" s="531"/>
      <c r="M60" s="532"/>
      <c r="N60" s="189"/>
      <c r="O60" s="183"/>
      <c r="P60" s="544"/>
      <c r="Q60" s="545"/>
      <c r="R60" s="544"/>
      <c r="S60" s="546"/>
      <c r="T60" s="546"/>
      <c r="U60" s="545"/>
      <c r="V60" s="517"/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112</v>
      </c>
      <c r="B61" s="533"/>
      <c r="C61" s="186" t="s">
        <v>195</v>
      </c>
      <c r="D61" s="186" t="s">
        <v>135</v>
      </c>
      <c r="E61" s="186" t="s">
        <v>179</v>
      </c>
      <c r="F61" s="530" t="s">
        <v>194</v>
      </c>
      <c r="G61" s="531"/>
      <c r="H61" s="531"/>
      <c r="I61" s="531"/>
      <c r="J61" s="531"/>
      <c r="K61" s="531"/>
      <c r="L61" s="531"/>
      <c r="M61" s="532"/>
      <c r="N61" s="189"/>
      <c r="O61" s="183"/>
      <c r="P61" s="544"/>
      <c r="Q61" s="545"/>
      <c r="R61" s="544"/>
      <c r="S61" s="546"/>
      <c r="T61" s="546"/>
      <c r="U61" s="545"/>
      <c r="V61" s="517"/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 t="s">
        <v>138</v>
      </c>
      <c r="B62" s="533"/>
      <c r="C62" s="186" t="s">
        <v>210</v>
      </c>
      <c r="D62" s="186" t="s">
        <v>265</v>
      </c>
      <c r="E62" s="186" t="s">
        <v>259</v>
      </c>
      <c r="F62" s="530" t="s">
        <v>124</v>
      </c>
      <c r="G62" s="531"/>
      <c r="H62" s="531"/>
      <c r="I62" s="531"/>
      <c r="J62" s="531"/>
      <c r="K62" s="531"/>
      <c r="L62" s="531"/>
      <c r="M62" s="532"/>
      <c r="N62" s="189"/>
      <c r="O62" s="183"/>
      <c r="P62" s="544"/>
      <c r="Q62" s="545"/>
      <c r="R62" s="544"/>
      <c r="S62" s="546"/>
      <c r="T62" s="546"/>
      <c r="U62" s="545"/>
      <c r="V62" s="517"/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 t="s">
        <v>112</v>
      </c>
      <c r="B63" s="533"/>
      <c r="C63" s="186" t="s">
        <v>271</v>
      </c>
      <c r="D63" s="186" t="s">
        <v>135</v>
      </c>
      <c r="E63" s="186" t="s">
        <v>272</v>
      </c>
      <c r="F63" s="530" t="s">
        <v>124</v>
      </c>
      <c r="G63" s="531"/>
      <c r="H63" s="531"/>
      <c r="I63" s="531"/>
      <c r="J63" s="531"/>
      <c r="K63" s="531"/>
      <c r="L63" s="531"/>
      <c r="M63" s="532"/>
      <c r="N63" s="189"/>
      <c r="O63" s="183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186"/>
      <c r="D64" s="186"/>
      <c r="E64" s="186"/>
      <c r="F64" s="530"/>
      <c r="G64" s="531"/>
      <c r="H64" s="531"/>
      <c r="I64" s="531"/>
      <c r="J64" s="531"/>
      <c r="K64" s="531"/>
      <c r="L64" s="531"/>
      <c r="M64" s="532"/>
      <c r="N64" s="189"/>
      <c r="O64" s="183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185"/>
      <c r="D65" s="185"/>
      <c r="E65" s="186"/>
      <c r="F65" s="530"/>
      <c r="G65" s="531"/>
      <c r="H65" s="531"/>
      <c r="I65" s="531"/>
      <c r="J65" s="531"/>
      <c r="K65" s="531"/>
      <c r="L65" s="531"/>
      <c r="M65" s="532"/>
      <c r="N65" s="189"/>
      <c r="O65" s="183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185"/>
      <c r="D66" s="185"/>
      <c r="E66" s="186"/>
      <c r="F66" s="530"/>
      <c r="G66" s="531"/>
      <c r="H66" s="531"/>
      <c r="I66" s="531"/>
      <c r="J66" s="531"/>
      <c r="K66" s="531"/>
      <c r="L66" s="531"/>
      <c r="M66" s="532"/>
      <c r="N66" s="189"/>
      <c r="O66" s="183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187"/>
      <c r="D67" s="188"/>
      <c r="E67" s="187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275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184" t="s">
        <v>2</v>
      </c>
      <c r="D69" s="184" t="s">
        <v>37</v>
      </c>
      <c r="E69" s="184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184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 t="s">
        <v>112</v>
      </c>
      <c r="D70" s="179"/>
      <c r="E70" s="182" t="s">
        <v>115</v>
      </c>
      <c r="F70" s="518" t="s">
        <v>276</v>
      </c>
      <c r="G70" s="519"/>
      <c r="H70" s="519"/>
      <c r="I70" s="519"/>
      <c r="J70" s="520"/>
      <c r="K70" s="504" t="s">
        <v>128</v>
      </c>
      <c r="L70" s="504"/>
      <c r="M70" s="51" t="s">
        <v>216</v>
      </c>
      <c r="N70" s="515" t="s">
        <v>156</v>
      </c>
      <c r="O70" s="515"/>
      <c r="P70" s="516"/>
      <c r="Q70" s="516"/>
      <c r="R70" s="517" t="s">
        <v>277</v>
      </c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/>
      <c r="D71" s="179"/>
      <c r="E71" s="182"/>
      <c r="F71" s="518"/>
      <c r="G71" s="519"/>
      <c r="H71" s="519"/>
      <c r="I71" s="519"/>
      <c r="J71" s="520"/>
      <c r="K71" s="504"/>
      <c r="L71" s="504"/>
      <c r="M71" s="51"/>
      <c r="N71" s="515"/>
      <c r="O71" s="515"/>
      <c r="P71" s="516"/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/>
      <c r="D72" s="179"/>
      <c r="E72" s="182"/>
      <c r="F72" s="518"/>
      <c r="G72" s="519"/>
      <c r="H72" s="519"/>
      <c r="I72" s="519"/>
      <c r="J72" s="520"/>
      <c r="K72" s="504"/>
      <c r="L72" s="504"/>
      <c r="M72" s="51"/>
      <c r="N72" s="515"/>
      <c r="O72" s="515"/>
      <c r="P72" s="516"/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/>
      <c r="D73" s="179"/>
      <c r="E73" s="182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/>
      <c r="D74" s="179"/>
      <c r="E74" s="182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/>
      <c r="D75" s="179"/>
      <c r="E75" s="182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/>
      <c r="D76" s="179"/>
      <c r="E76" s="182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179"/>
      <c r="E77" s="182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179"/>
      <c r="E78" s="182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179"/>
      <c r="E79" s="182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278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181" t="s">
        <v>2</v>
      </c>
      <c r="D81" s="181" t="s">
        <v>37</v>
      </c>
      <c r="E81" s="181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180"/>
      <c r="D82" s="180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179"/>
      <c r="D83" s="179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9">A83+1</f>
        <v>3</v>
      </c>
      <c r="B84" s="472"/>
      <c r="C84" s="179"/>
      <c r="D84" s="179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9"/>
        <v>4</v>
      </c>
      <c r="B85" s="472"/>
      <c r="C85" s="179"/>
      <c r="D85" s="179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9"/>
        <v>5</v>
      </c>
      <c r="B86" s="472"/>
      <c r="C86" s="179"/>
      <c r="D86" s="179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9"/>
        <v>6</v>
      </c>
      <c r="B87" s="472"/>
      <c r="C87" s="179"/>
      <c r="D87" s="179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9"/>
        <v>7</v>
      </c>
      <c r="B88" s="472"/>
      <c r="C88" s="179"/>
      <c r="D88" s="179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279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 t="s">
        <v>129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6" fitToHeight="2" orientation="landscape" r:id="rId1"/>
  <rowBreaks count="1" manualBreakCount="1">
    <brk id="53" max="2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8462-397E-4C22-AEEB-3D8C658CE201}">
  <dimension ref="A1:AF93"/>
  <sheetViews>
    <sheetView view="pageBreakPreview" zoomScale="70" zoomScaleNormal="72" zoomScaleSheetLayoutView="70" workbookViewId="0">
      <selection activeCell="A90" sqref="A90:B9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280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205" t="s">
        <v>17</v>
      </c>
      <c r="L5" s="205" t="s">
        <v>18</v>
      </c>
      <c r="M5" s="205" t="s">
        <v>19</v>
      </c>
      <c r="N5" s="20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112</v>
      </c>
      <c r="D6" s="52" t="s">
        <v>127</v>
      </c>
      <c r="E6" s="53" t="s">
        <v>180</v>
      </c>
      <c r="F6" s="30" t="s">
        <v>141</v>
      </c>
      <c r="G6" s="12">
        <v>2</v>
      </c>
      <c r="H6" s="13">
        <v>24</v>
      </c>
      <c r="I6" s="31">
        <v>185000</v>
      </c>
      <c r="J6" s="14">
        <v>11234</v>
      </c>
      <c r="K6" s="15">
        <f>L6+5840+11504+11434+11462+11458+11584+10978+11678+11622+11070+11640</f>
        <v>131504</v>
      </c>
      <c r="L6" s="15">
        <f>2967*2+2650*2</f>
        <v>11234</v>
      </c>
      <c r="M6" s="15">
        <f t="shared" ref="M6:M27" si="0">L6-N6</f>
        <v>11234</v>
      </c>
      <c r="N6" s="15">
        <v>0</v>
      </c>
      <c r="O6" s="58">
        <f t="shared" ref="O6:O28" si="1">IF(L6=0,"0",N6/L6)</f>
        <v>0</v>
      </c>
      <c r="P6" s="39">
        <f t="shared" ref="P6:P27" si="2">IF(L6=0,"0",(24-Q6))</f>
        <v>24</v>
      </c>
      <c r="Q6" s="40">
        <f t="shared" ref="Q6:Q27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27" si="4">IF(J6=0,"0",(L6/J6))</f>
        <v>1</v>
      </c>
      <c r="AC6" s="9">
        <f t="shared" ref="AC6:AC27" si="5">IF(P6=0,"0",(P6/24))</f>
        <v>1</v>
      </c>
      <c r="AD6" s="10">
        <f t="shared" ref="AD6:AD27" si="6">AC6*AB6*(1-O6)</f>
        <v>1</v>
      </c>
      <c r="AE6" s="36">
        <f t="shared" ref="AE6:AE27" si="7">$AD$28</f>
        <v>0.43560606060606061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190000</v>
      </c>
      <c r="J7" s="14">
        <v>8365</v>
      </c>
      <c r="K7" s="15">
        <f>L7+2217+10130</f>
        <v>20712</v>
      </c>
      <c r="L7" s="15">
        <f>2941+2712*2</f>
        <v>8365</v>
      </c>
      <c r="M7" s="15">
        <f t="shared" si="0"/>
        <v>8365</v>
      </c>
      <c r="N7" s="15">
        <v>0</v>
      </c>
      <c r="O7" s="58">
        <f t="shared" si="1"/>
        <v>0</v>
      </c>
      <c r="P7" s="39">
        <f t="shared" si="2"/>
        <v>23</v>
      </c>
      <c r="Q7" s="40">
        <f t="shared" si="3"/>
        <v>1</v>
      </c>
      <c r="R7" s="7"/>
      <c r="S7" s="6">
        <v>1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0.95833333333333337</v>
      </c>
      <c r="AD7" s="10">
        <f t="shared" si="6"/>
        <v>0.95833333333333337</v>
      </c>
      <c r="AE7" s="36">
        <f t="shared" si="7"/>
        <v>0.43560606060606061</v>
      </c>
      <c r="AF7" s="84">
        <f t="shared" si="8"/>
        <v>2</v>
      </c>
    </row>
    <row r="8" spans="1:32" ht="30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160000</v>
      </c>
      <c r="J8" s="14">
        <v>5886</v>
      </c>
      <c r="K8" s="15">
        <f>L8+8132+2262</f>
        <v>16280</v>
      </c>
      <c r="L8" s="15">
        <f>2943*2</f>
        <v>5886</v>
      </c>
      <c r="M8" s="15">
        <f t="shared" si="0"/>
        <v>5886</v>
      </c>
      <c r="N8" s="15">
        <v>0</v>
      </c>
      <c r="O8" s="58">
        <f t="shared" si="1"/>
        <v>0</v>
      </c>
      <c r="P8" s="39">
        <f t="shared" si="2"/>
        <v>14</v>
      </c>
      <c r="Q8" s="40">
        <f t="shared" si="3"/>
        <v>10</v>
      </c>
      <c r="R8" s="7"/>
      <c r="S8" s="6">
        <v>10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0.58333333333333337</v>
      </c>
      <c r="AD8" s="10">
        <f t="shared" si="6"/>
        <v>0.58333333333333337</v>
      </c>
      <c r="AE8" s="36">
        <f t="shared" si="7"/>
        <v>0.43560606060606061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116</v>
      </c>
      <c r="D9" s="52" t="s">
        <v>115</v>
      </c>
      <c r="E9" s="53" t="s">
        <v>197</v>
      </c>
      <c r="F9" s="30" t="s">
        <v>171</v>
      </c>
      <c r="G9" s="12">
        <v>1</v>
      </c>
      <c r="H9" s="13">
        <v>24</v>
      </c>
      <c r="I9" s="7">
        <v>17000</v>
      </c>
      <c r="J9" s="14">
        <v>3580</v>
      </c>
      <c r="K9" s="15">
        <f>L9+3449+2796+3887+2239</f>
        <v>15951</v>
      </c>
      <c r="L9" s="15">
        <f>2328+1252</f>
        <v>3580</v>
      </c>
      <c r="M9" s="15">
        <f t="shared" si="0"/>
        <v>3580</v>
      </c>
      <c r="N9" s="15">
        <v>0</v>
      </c>
      <c r="O9" s="58">
        <f t="shared" si="1"/>
        <v>0</v>
      </c>
      <c r="P9" s="39">
        <f t="shared" si="2"/>
        <v>20</v>
      </c>
      <c r="Q9" s="40">
        <f t="shared" si="3"/>
        <v>4</v>
      </c>
      <c r="R9" s="7">
        <v>4</v>
      </c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0.83333333333333337</v>
      </c>
      <c r="AD9" s="10">
        <f t="shared" si="6"/>
        <v>0.83333333333333337</v>
      </c>
      <c r="AE9" s="36">
        <f t="shared" si="7"/>
        <v>0.43560606060606061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163</v>
      </c>
      <c r="D10" s="52"/>
      <c r="E10" s="53" t="s">
        <v>204</v>
      </c>
      <c r="F10" s="30" t="s">
        <v>205</v>
      </c>
      <c r="G10" s="33">
        <v>2</v>
      </c>
      <c r="H10" s="35">
        <v>24</v>
      </c>
      <c r="I10" s="7">
        <v>100000</v>
      </c>
      <c r="J10" s="14">
        <v>10206</v>
      </c>
      <c r="K10" s="15">
        <f>L10</f>
        <v>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>
        <v>24</v>
      </c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6"/>
        <v>0</v>
      </c>
      <c r="AE10" s="36">
        <f t="shared" si="7"/>
        <v>0.43560606060606061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123</v>
      </c>
      <c r="E11" s="53" t="s">
        <v>202</v>
      </c>
      <c r="F11" s="30" t="s">
        <v>128</v>
      </c>
      <c r="G11" s="33">
        <v>1</v>
      </c>
      <c r="H11" s="35">
        <v>24</v>
      </c>
      <c r="I11" s="7">
        <v>17000</v>
      </c>
      <c r="J11" s="14">
        <v>2327</v>
      </c>
      <c r="K11" s="15">
        <f>L11+117+2187+4140+4270</f>
        <v>13041</v>
      </c>
      <c r="L11" s="15">
        <f>1064+1263</f>
        <v>2327</v>
      </c>
      <c r="M11" s="15">
        <f t="shared" si="0"/>
        <v>2327</v>
      </c>
      <c r="N11" s="15">
        <v>0</v>
      </c>
      <c r="O11" s="58">
        <f t="shared" si="1"/>
        <v>0</v>
      </c>
      <c r="P11" s="39">
        <f t="shared" si="2"/>
        <v>11</v>
      </c>
      <c r="Q11" s="40">
        <f t="shared" si="3"/>
        <v>13</v>
      </c>
      <c r="R11" s="7"/>
      <c r="S11" s="6">
        <v>13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0.45833333333333331</v>
      </c>
      <c r="AD11" s="10">
        <f t="shared" si="6"/>
        <v>0.45833333333333331</v>
      </c>
      <c r="AE11" s="36">
        <f t="shared" si="7"/>
        <v>0.43560606060606061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116</v>
      </c>
      <c r="D12" s="52" t="s">
        <v>115</v>
      </c>
      <c r="E12" s="53" t="s">
        <v>176</v>
      </c>
      <c r="F12" s="30" t="s">
        <v>148</v>
      </c>
      <c r="G12" s="12">
        <v>1</v>
      </c>
      <c r="H12" s="13">
        <v>22</v>
      </c>
      <c r="I12" s="31">
        <v>80000</v>
      </c>
      <c r="J12" s="5">
        <v>4631</v>
      </c>
      <c r="K12" s="15">
        <f>L12+3050+5463+5497+6377+5244+5460+5580+5482+5489+5556+3742+5513+5475+4332+5489+5313+5297+5483+5486+5473+5555</f>
        <v>114987</v>
      </c>
      <c r="L12" s="15">
        <f>2104+2527</f>
        <v>4631</v>
      </c>
      <c r="M12" s="15">
        <f t="shared" si="0"/>
        <v>4631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6"/>
        <v>1</v>
      </c>
      <c r="AE12" s="36">
        <f t="shared" si="7"/>
        <v>0.43560606060606061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123</v>
      </c>
      <c r="E13" s="53" t="s">
        <v>179</v>
      </c>
      <c r="F13" s="30" t="s">
        <v>128</v>
      </c>
      <c r="G13" s="33">
        <v>2</v>
      </c>
      <c r="H13" s="35">
        <v>35</v>
      </c>
      <c r="I13" s="7">
        <v>190000</v>
      </c>
      <c r="J13" s="14">
        <v>12322</v>
      </c>
      <c r="K13" s="15">
        <f>L13+6644</f>
        <v>18966</v>
      </c>
      <c r="L13" s="15">
        <f>3262*2+2899*2</f>
        <v>12322</v>
      </c>
      <c r="M13" s="15">
        <f t="shared" si="0"/>
        <v>12322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6"/>
        <v>1</v>
      </c>
      <c r="AE13" s="36">
        <f t="shared" si="7"/>
        <v>0.43560606060606061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112</v>
      </c>
      <c r="D14" s="52" t="s">
        <v>115</v>
      </c>
      <c r="E14" s="53" t="s">
        <v>181</v>
      </c>
      <c r="F14" s="30" t="s">
        <v>171</v>
      </c>
      <c r="G14" s="33">
        <v>1</v>
      </c>
      <c r="H14" s="35">
        <v>50</v>
      </c>
      <c r="I14" s="7">
        <v>500</v>
      </c>
      <c r="J14" s="5">
        <v>608</v>
      </c>
      <c r="K14" s="15">
        <f>L14+290+608</f>
        <v>898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0.43560606060606061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12000</v>
      </c>
      <c r="J15" s="14">
        <v>12356</v>
      </c>
      <c r="K15" s="15">
        <f>L15+12356</f>
        <v>12356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0.43560606060606061</v>
      </c>
      <c r="AF15" s="84">
        <f t="shared" si="8"/>
        <v>10</v>
      </c>
    </row>
    <row r="16" spans="1:32" ht="30" customHeight="1">
      <c r="A16" s="112">
        <v>11</v>
      </c>
      <c r="B16" s="11" t="s">
        <v>57</v>
      </c>
      <c r="C16" s="34" t="s">
        <v>138</v>
      </c>
      <c r="D16" s="52" t="s">
        <v>115</v>
      </c>
      <c r="E16" s="53" t="s">
        <v>274</v>
      </c>
      <c r="F16" s="30" t="s">
        <v>171</v>
      </c>
      <c r="G16" s="12">
        <v>1</v>
      </c>
      <c r="H16" s="13">
        <v>24</v>
      </c>
      <c r="I16" s="7">
        <v>3000</v>
      </c>
      <c r="J16" s="14">
        <v>2920</v>
      </c>
      <c r="K16" s="15">
        <f>L16</f>
        <v>2920</v>
      </c>
      <c r="L16" s="15">
        <f>1895+1025</f>
        <v>2920</v>
      </c>
      <c r="M16" s="15">
        <f t="shared" si="0"/>
        <v>2920</v>
      </c>
      <c r="N16" s="15">
        <v>0</v>
      </c>
      <c r="O16" s="58">
        <f t="shared" si="1"/>
        <v>0</v>
      </c>
      <c r="P16" s="39">
        <f t="shared" si="2"/>
        <v>20</v>
      </c>
      <c r="Q16" s="40">
        <f t="shared" si="3"/>
        <v>4</v>
      </c>
      <c r="R16" s="7"/>
      <c r="S16" s="6">
        <v>4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0.83333333333333337</v>
      </c>
      <c r="AD16" s="10">
        <f t="shared" si="6"/>
        <v>0.83333333333333337</v>
      </c>
      <c r="AE16" s="36">
        <f t="shared" si="7"/>
        <v>0.43560606060606061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163</v>
      </c>
      <c r="D17" s="52"/>
      <c r="E17" s="53" t="s">
        <v>225</v>
      </c>
      <c r="F17" s="30" t="s">
        <v>169</v>
      </c>
      <c r="G17" s="12">
        <v>1</v>
      </c>
      <c r="H17" s="13">
        <v>24</v>
      </c>
      <c r="I17" s="7">
        <v>6500</v>
      </c>
      <c r="J17" s="14">
        <v>4690</v>
      </c>
      <c r="K17" s="15">
        <f>L17+3680+6049+4690</f>
        <v>14419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0.43560606060606061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137</v>
      </c>
      <c r="E18" s="53" t="s">
        <v>191</v>
      </c>
      <c r="F18" s="30" t="s">
        <v>130</v>
      </c>
      <c r="G18" s="33">
        <v>1</v>
      </c>
      <c r="H18" s="35">
        <v>24</v>
      </c>
      <c r="I18" s="7">
        <v>180000</v>
      </c>
      <c r="J18" s="14">
        <v>10384</v>
      </c>
      <c r="K18" s="15">
        <f>L18+9952+11100+11616+11336+11468+11654</f>
        <v>77510</v>
      </c>
      <c r="L18" s="15">
        <f>3042*2+2150*2</f>
        <v>10384</v>
      </c>
      <c r="M18" s="15">
        <f t="shared" si="0"/>
        <v>10384</v>
      </c>
      <c r="N18" s="15">
        <v>0</v>
      </c>
      <c r="O18" s="58">
        <f t="shared" si="1"/>
        <v>0</v>
      </c>
      <c r="P18" s="39">
        <f t="shared" si="2"/>
        <v>22</v>
      </c>
      <c r="Q18" s="40">
        <f t="shared" si="3"/>
        <v>2</v>
      </c>
      <c r="R18" s="7"/>
      <c r="S18" s="6">
        <v>2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0.91666666666666663</v>
      </c>
      <c r="AD18" s="10">
        <f t="shared" si="6"/>
        <v>0.91666666666666663</v>
      </c>
      <c r="AE18" s="36">
        <f t="shared" si="7"/>
        <v>0.43560606060606061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112</v>
      </c>
      <c r="D19" s="52" t="s">
        <v>123</v>
      </c>
      <c r="E19" s="53" t="s">
        <v>266</v>
      </c>
      <c r="F19" s="30" t="s">
        <v>128</v>
      </c>
      <c r="G19" s="33">
        <v>1</v>
      </c>
      <c r="H19" s="35">
        <v>24</v>
      </c>
      <c r="I19" s="7">
        <v>3000</v>
      </c>
      <c r="J19" s="14">
        <v>5073</v>
      </c>
      <c r="K19" s="15">
        <f>L19+3173</f>
        <v>8246</v>
      </c>
      <c r="L19" s="15">
        <f>2472+2601</f>
        <v>5073</v>
      </c>
      <c r="M19" s="15">
        <f t="shared" si="0"/>
        <v>5073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6"/>
        <v>1</v>
      </c>
      <c r="AE19" s="36">
        <f t="shared" si="7"/>
        <v>0.43560606060606061</v>
      </c>
      <c r="AF19" s="84">
        <f t="shared" si="8"/>
        <v>14</v>
      </c>
    </row>
    <row r="20" spans="1:32" ht="30" customHeight="1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206</v>
      </c>
      <c r="G20" s="12">
        <v>2</v>
      </c>
      <c r="H20" s="13">
        <v>24</v>
      </c>
      <c r="I20" s="7">
        <v>230000</v>
      </c>
      <c r="J20" s="14">
        <v>10206</v>
      </c>
      <c r="K20" s="15">
        <f>L20+7008+11154+9077+8768+10676+10588+2521+7242+10236+10216+10614+10620+10632+10760</f>
        <v>140318</v>
      </c>
      <c r="L20" s="15">
        <f>2725*2+2378*2</f>
        <v>10206</v>
      </c>
      <c r="M20" s="15">
        <f t="shared" si="0"/>
        <v>10206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0.43560606060606061</v>
      </c>
      <c r="AF20" s="84">
        <f t="shared" si="8"/>
        <v>15</v>
      </c>
    </row>
    <row r="21" spans="1:32" ht="27" customHeight="1">
      <c r="A21" s="96">
        <v>16</v>
      </c>
      <c r="B21" s="11" t="s">
        <v>57</v>
      </c>
      <c r="C21" s="11" t="s">
        <v>113</v>
      </c>
      <c r="D21" s="52"/>
      <c r="E21" s="53" t="s">
        <v>134</v>
      </c>
      <c r="F21" s="12" t="s">
        <v>114</v>
      </c>
      <c r="G21" s="12">
        <v>4</v>
      </c>
      <c r="H21" s="35">
        <v>20</v>
      </c>
      <c r="I21" s="7">
        <v>1000000</v>
      </c>
      <c r="J21" s="14">
        <v>54824</v>
      </c>
      <c r="K21" s="15">
        <f>L21+52608+61640+61384+61404+61548+56540+56468+61848+61944+61688+54824</f>
        <v>651896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0.43560606060606061</v>
      </c>
      <c r="AF21" s="84">
        <f t="shared" si="8"/>
        <v>16</v>
      </c>
    </row>
    <row r="22" spans="1:32" ht="27" customHeight="1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0.43560606060606061</v>
      </c>
      <c r="AF22" s="84">
        <f t="shared" si="8"/>
        <v>31</v>
      </c>
    </row>
    <row r="23" spans="1:32" ht="27" customHeight="1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0.43560606060606061</v>
      </c>
      <c r="AF23" s="84">
        <f t="shared" si="8"/>
        <v>32</v>
      </c>
    </row>
    <row r="24" spans="1:32" ht="27" customHeight="1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3244</v>
      </c>
      <c r="K24" s="15">
        <f>L24+4387+7770+5806+7905+7479+7369+7360+2397+6904+7208+7013+6976+6992+2652+6495+7026+7051+7084+4297+6519+7042+3244</f>
        <v>136976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20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0.43560606060606061</v>
      </c>
      <c r="AF24" s="84">
        <f t="shared" si="8"/>
        <v>33</v>
      </c>
    </row>
    <row r="25" spans="1:32" ht="27" customHeight="1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0.43560606060606061</v>
      </c>
      <c r="AF25" s="84">
        <f t="shared" si="8"/>
        <v>34</v>
      </c>
    </row>
    <row r="26" spans="1:32" ht="27" customHeight="1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0.43560606060606061</v>
      </c>
      <c r="AF26" s="84">
        <f t="shared" si="8"/>
        <v>35</v>
      </c>
    </row>
    <row r="27" spans="1:32" ht="27" customHeight="1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700000</v>
      </c>
      <c r="J27" s="14">
        <v>89792</v>
      </c>
      <c r="K27" s="15">
        <f>L27+326528+448864+89792</f>
        <v>865184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0.43560606060606061</v>
      </c>
      <c r="AF27" s="84">
        <f t="shared" si="8"/>
        <v>36</v>
      </c>
    </row>
    <row r="28" spans="1:32" ht="31.5" customHeight="1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9">SUM(I6:I27)</f>
        <v>3694000</v>
      </c>
      <c r="J28" s="19">
        <f t="shared" si="9"/>
        <v>274236</v>
      </c>
      <c r="K28" s="20">
        <f t="shared" si="9"/>
        <v>2781808</v>
      </c>
      <c r="L28" s="21">
        <f t="shared" si="9"/>
        <v>76928</v>
      </c>
      <c r="M28" s="20">
        <f t="shared" si="9"/>
        <v>76928</v>
      </c>
      <c r="N28" s="21">
        <f t="shared" si="9"/>
        <v>0</v>
      </c>
      <c r="O28" s="41">
        <f t="shared" si="1"/>
        <v>0</v>
      </c>
      <c r="P28" s="42">
        <f t="shared" ref="P28:AA28" si="10">SUM(P6:P27)</f>
        <v>230</v>
      </c>
      <c r="Q28" s="43">
        <f t="shared" si="10"/>
        <v>298</v>
      </c>
      <c r="R28" s="23">
        <f t="shared" si="10"/>
        <v>4</v>
      </c>
      <c r="S28" s="24">
        <f t="shared" si="10"/>
        <v>30</v>
      </c>
      <c r="T28" s="24">
        <f t="shared" si="10"/>
        <v>0</v>
      </c>
      <c r="U28" s="24">
        <f t="shared" si="10"/>
        <v>0</v>
      </c>
      <c r="V28" s="25">
        <f t="shared" si="10"/>
        <v>96</v>
      </c>
      <c r="W28" s="26">
        <f t="shared" si="10"/>
        <v>168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0</v>
      </c>
      <c r="AB28" s="28">
        <f>AVERAGE(AB6:AB27)</f>
        <v>0.55000000000000004</v>
      </c>
      <c r="AC28" s="4">
        <f>AVERAGE(AC6:AC27)</f>
        <v>0.43560606060606061</v>
      </c>
      <c r="AD28" s="4">
        <f>AVERAGE(AD6:AD27)</f>
        <v>0.43560606060606061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281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285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204" t="s">
        <v>46</v>
      </c>
      <c r="D57" s="204" t="s">
        <v>47</v>
      </c>
      <c r="E57" s="204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204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43" t="s">
        <v>138</v>
      </c>
      <c r="B58" s="533"/>
      <c r="C58" s="200" t="s">
        <v>217</v>
      </c>
      <c r="D58" s="200" t="s">
        <v>142</v>
      </c>
      <c r="E58" s="200" t="s">
        <v>241</v>
      </c>
      <c r="F58" s="530" t="s">
        <v>282</v>
      </c>
      <c r="G58" s="531"/>
      <c r="H58" s="531"/>
      <c r="I58" s="531"/>
      <c r="J58" s="531"/>
      <c r="K58" s="531"/>
      <c r="L58" s="531"/>
      <c r="M58" s="532"/>
      <c r="N58" s="203" t="s">
        <v>116</v>
      </c>
      <c r="O58" s="197" t="s">
        <v>201</v>
      </c>
      <c r="P58" s="544" t="s">
        <v>135</v>
      </c>
      <c r="Q58" s="545"/>
      <c r="R58" s="544" t="s">
        <v>202</v>
      </c>
      <c r="S58" s="546"/>
      <c r="T58" s="546"/>
      <c r="U58" s="545"/>
      <c r="V58" s="517" t="s">
        <v>120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43" t="s">
        <v>138</v>
      </c>
      <c r="B59" s="533"/>
      <c r="C59" s="200" t="s">
        <v>156</v>
      </c>
      <c r="D59" s="200" t="s">
        <v>115</v>
      </c>
      <c r="E59" s="200" t="s">
        <v>253</v>
      </c>
      <c r="F59" s="530" t="s">
        <v>283</v>
      </c>
      <c r="G59" s="531"/>
      <c r="H59" s="531"/>
      <c r="I59" s="531"/>
      <c r="J59" s="531"/>
      <c r="K59" s="531"/>
      <c r="L59" s="531"/>
      <c r="M59" s="532"/>
      <c r="N59" s="203" t="s">
        <v>116</v>
      </c>
      <c r="O59" s="197" t="s">
        <v>287</v>
      </c>
      <c r="P59" s="544" t="s">
        <v>115</v>
      </c>
      <c r="Q59" s="545"/>
      <c r="R59" s="544" t="s">
        <v>286</v>
      </c>
      <c r="S59" s="546"/>
      <c r="T59" s="546"/>
      <c r="U59" s="545"/>
      <c r="V59" s="517" t="s">
        <v>124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116</v>
      </c>
      <c r="B60" s="533"/>
      <c r="C60" s="200" t="s">
        <v>201</v>
      </c>
      <c r="D60" s="200" t="s">
        <v>135</v>
      </c>
      <c r="E60" s="200" t="s">
        <v>202</v>
      </c>
      <c r="F60" s="530" t="s">
        <v>284</v>
      </c>
      <c r="G60" s="531"/>
      <c r="H60" s="531"/>
      <c r="I60" s="531"/>
      <c r="J60" s="531"/>
      <c r="K60" s="531"/>
      <c r="L60" s="531"/>
      <c r="M60" s="532"/>
      <c r="N60" s="203" t="s">
        <v>112</v>
      </c>
      <c r="O60" s="197" t="s">
        <v>161</v>
      </c>
      <c r="P60" s="544" t="s">
        <v>115</v>
      </c>
      <c r="Q60" s="545"/>
      <c r="R60" s="544" t="s">
        <v>213</v>
      </c>
      <c r="S60" s="546"/>
      <c r="T60" s="546"/>
      <c r="U60" s="545"/>
      <c r="V60" s="517" t="s">
        <v>124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138</v>
      </c>
      <c r="B61" s="533"/>
      <c r="C61" s="200" t="s">
        <v>210</v>
      </c>
      <c r="D61" s="200" t="s">
        <v>115</v>
      </c>
      <c r="E61" s="200" t="s">
        <v>274</v>
      </c>
      <c r="F61" s="530" t="s">
        <v>124</v>
      </c>
      <c r="G61" s="531"/>
      <c r="H61" s="531"/>
      <c r="I61" s="531"/>
      <c r="J61" s="531"/>
      <c r="K61" s="531"/>
      <c r="L61" s="531"/>
      <c r="M61" s="532"/>
      <c r="N61" s="203" t="s">
        <v>113</v>
      </c>
      <c r="O61" s="197" t="s">
        <v>289</v>
      </c>
      <c r="P61" s="544"/>
      <c r="Q61" s="545"/>
      <c r="R61" s="544" t="s">
        <v>288</v>
      </c>
      <c r="S61" s="546"/>
      <c r="T61" s="546"/>
      <c r="U61" s="545"/>
      <c r="V61" s="517" t="s">
        <v>124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 t="s">
        <v>112</v>
      </c>
      <c r="B62" s="533"/>
      <c r="C62" s="200" t="s">
        <v>167</v>
      </c>
      <c r="D62" s="200" t="s">
        <v>137</v>
      </c>
      <c r="E62" s="200" t="s">
        <v>191</v>
      </c>
      <c r="F62" s="530" t="s">
        <v>209</v>
      </c>
      <c r="G62" s="531"/>
      <c r="H62" s="531"/>
      <c r="I62" s="531"/>
      <c r="J62" s="531"/>
      <c r="K62" s="531"/>
      <c r="L62" s="531"/>
      <c r="M62" s="532"/>
      <c r="N62" s="203"/>
      <c r="O62" s="197"/>
      <c r="P62" s="544"/>
      <c r="Q62" s="545"/>
      <c r="R62" s="544"/>
      <c r="S62" s="546"/>
      <c r="T62" s="546"/>
      <c r="U62" s="545"/>
      <c r="V62" s="517"/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/>
      <c r="B63" s="533"/>
      <c r="C63" s="200"/>
      <c r="D63" s="200"/>
      <c r="E63" s="200"/>
      <c r="F63" s="530"/>
      <c r="G63" s="531"/>
      <c r="H63" s="531"/>
      <c r="I63" s="531"/>
      <c r="J63" s="531"/>
      <c r="K63" s="531"/>
      <c r="L63" s="531"/>
      <c r="M63" s="532"/>
      <c r="N63" s="203"/>
      <c r="O63" s="197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200"/>
      <c r="D64" s="200"/>
      <c r="E64" s="200"/>
      <c r="F64" s="530"/>
      <c r="G64" s="531"/>
      <c r="H64" s="531"/>
      <c r="I64" s="531"/>
      <c r="J64" s="531"/>
      <c r="K64" s="531"/>
      <c r="L64" s="531"/>
      <c r="M64" s="532"/>
      <c r="N64" s="203"/>
      <c r="O64" s="197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199"/>
      <c r="D65" s="199"/>
      <c r="E65" s="200"/>
      <c r="F65" s="530"/>
      <c r="G65" s="531"/>
      <c r="H65" s="531"/>
      <c r="I65" s="531"/>
      <c r="J65" s="531"/>
      <c r="K65" s="531"/>
      <c r="L65" s="531"/>
      <c r="M65" s="532"/>
      <c r="N65" s="203"/>
      <c r="O65" s="197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199"/>
      <c r="D66" s="199"/>
      <c r="E66" s="200"/>
      <c r="F66" s="530"/>
      <c r="G66" s="531"/>
      <c r="H66" s="531"/>
      <c r="I66" s="531"/>
      <c r="J66" s="531"/>
      <c r="K66" s="531"/>
      <c r="L66" s="531"/>
      <c r="M66" s="532"/>
      <c r="N66" s="203"/>
      <c r="O66" s="197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201"/>
      <c r="D67" s="202"/>
      <c r="E67" s="201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290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198" t="s">
        <v>2</v>
      </c>
      <c r="D69" s="198" t="s">
        <v>37</v>
      </c>
      <c r="E69" s="198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198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 t="s">
        <v>116</v>
      </c>
      <c r="D70" s="193"/>
      <c r="E70" s="196" t="s">
        <v>127</v>
      </c>
      <c r="F70" s="518" t="s">
        <v>291</v>
      </c>
      <c r="G70" s="519"/>
      <c r="H70" s="519"/>
      <c r="I70" s="519"/>
      <c r="J70" s="520"/>
      <c r="K70" s="504" t="s">
        <v>228</v>
      </c>
      <c r="L70" s="504"/>
      <c r="M70" s="51" t="s">
        <v>292</v>
      </c>
      <c r="N70" s="515" t="s">
        <v>164</v>
      </c>
      <c r="O70" s="515"/>
      <c r="P70" s="516">
        <v>50</v>
      </c>
      <c r="Q70" s="516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/>
      <c r="D71" s="193"/>
      <c r="E71" s="196"/>
      <c r="F71" s="518"/>
      <c r="G71" s="519"/>
      <c r="H71" s="519"/>
      <c r="I71" s="519"/>
      <c r="J71" s="520"/>
      <c r="K71" s="504"/>
      <c r="L71" s="504"/>
      <c r="M71" s="51"/>
      <c r="N71" s="515"/>
      <c r="O71" s="515"/>
      <c r="P71" s="516"/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/>
      <c r="D72" s="193"/>
      <c r="E72" s="196"/>
      <c r="F72" s="518"/>
      <c r="G72" s="519"/>
      <c r="H72" s="519"/>
      <c r="I72" s="519"/>
      <c r="J72" s="520"/>
      <c r="K72" s="504"/>
      <c r="L72" s="504"/>
      <c r="M72" s="51"/>
      <c r="N72" s="515"/>
      <c r="O72" s="515"/>
      <c r="P72" s="516"/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/>
      <c r="D73" s="193"/>
      <c r="E73" s="196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/>
      <c r="D74" s="193"/>
      <c r="E74" s="196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/>
      <c r="D75" s="193"/>
      <c r="E75" s="196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/>
      <c r="D76" s="193"/>
      <c r="E76" s="196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193"/>
      <c r="E77" s="196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193"/>
      <c r="E78" s="196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193"/>
      <c r="E79" s="196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293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195" t="s">
        <v>2</v>
      </c>
      <c r="D81" s="195" t="s">
        <v>37</v>
      </c>
      <c r="E81" s="195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194"/>
      <c r="D82" s="194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193"/>
      <c r="D83" s="193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1">A83+1</f>
        <v>3</v>
      </c>
      <c r="B84" s="472"/>
      <c r="C84" s="193"/>
      <c r="D84" s="193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1"/>
        <v>4</v>
      </c>
      <c r="B85" s="472"/>
      <c r="C85" s="193"/>
      <c r="D85" s="193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1"/>
        <v>5</v>
      </c>
      <c r="B86" s="472"/>
      <c r="C86" s="193"/>
      <c r="D86" s="193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1"/>
        <v>6</v>
      </c>
      <c r="B87" s="472"/>
      <c r="C87" s="193"/>
      <c r="D87" s="193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1"/>
        <v>7</v>
      </c>
      <c r="B88" s="472"/>
      <c r="C88" s="193"/>
      <c r="D88" s="193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294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 t="s">
        <v>129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6" fitToHeight="2" orientation="landscape" r:id="rId1"/>
  <rowBreaks count="1" manualBreakCount="1">
    <brk id="53" max="2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6D90-348E-4029-B0AD-4D28265E24F7}">
  <sheetPr>
    <pageSetUpPr fitToPage="1"/>
  </sheetPr>
  <dimension ref="A1:AF93"/>
  <sheetViews>
    <sheetView view="pageBreakPreview" zoomScale="70" zoomScaleNormal="72" zoomScaleSheetLayoutView="70" workbookViewId="0">
      <selection activeCell="F62" sqref="F62:M62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295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206" t="s">
        <v>17</v>
      </c>
      <c r="L5" s="206" t="s">
        <v>18</v>
      </c>
      <c r="M5" s="206" t="s">
        <v>19</v>
      </c>
      <c r="N5" s="20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112</v>
      </c>
      <c r="D6" s="52" t="s">
        <v>127</v>
      </c>
      <c r="E6" s="53" t="s">
        <v>180</v>
      </c>
      <c r="F6" s="30" t="s">
        <v>141</v>
      </c>
      <c r="G6" s="12">
        <v>2</v>
      </c>
      <c r="H6" s="13">
        <v>24</v>
      </c>
      <c r="I6" s="31">
        <v>185000</v>
      </c>
      <c r="J6" s="14">
        <v>11234</v>
      </c>
      <c r="K6" s="15">
        <f>L6+5840+11504+11434+11462+11458+11584+10978+11678+11622+11070+11640+11234</f>
        <v>131504</v>
      </c>
      <c r="L6" s="15"/>
      <c r="M6" s="15">
        <f t="shared" ref="M6:M27" si="0">L6-N6</f>
        <v>0</v>
      </c>
      <c r="N6" s="15">
        <v>0</v>
      </c>
      <c r="O6" s="58" t="str">
        <f t="shared" ref="O6:O28" si="1">IF(L6=0,"0",N6/L6)</f>
        <v>0</v>
      </c>
      <c r="P6" s="39" t="str">
        <f t="shared" ref="P6:P27" si="2">IF(L6=0,"0",(24-Q6))</f>
        <v>0</v>
      </c>
      <c r="Q6" s="40">
        <f t="shared" ref="Q6:Q27" si="3">SUM(R6:AA6)</f>
        <v>24</v>
      </c>
      <c r="R6" s="7"/>
      <c r="S6" s="6">
        <v>24</v>
      </c>
      <c r="T6" s="16"/>
      <c r="U6" s="16"/>
      <c r="V6" s="17"/>
      <c r="W6" s="5"/>
      <c r="X6" s="16"/>
      <c r="Y6" s="16"/>
      <c r="Z6" s="16"/>
      <c r="AA6" s="18"/>
      <c r="AB6" s="8">
        <f t="shared" ref="AB6:AB27" si="4">IF(J6=0,"0",(L6/J6))</f>
        <v>0</v>
      </c>
      <c r="AC6" s="9">
        <f t="shared" ref="AC6:AC27" si="5">IF(P6=0,"0",(P6/24))</f>
        <v>0</v>
      </c>
      <c r="AD6" s="10">
        <f t="shared" ref="AD6:AD27" si="6">AC6*AB6*(1-O6)</f>
        <v>0</v>
      </c>
      <c r="AE6" s="36">
        <f t="shared" ref="AE6:AE27" si="7">$AD$28</f>
        <v>0.375</v>
      </c>
      <c r="AF6" s="84">
        <f t="shared" ref="AF6:AF27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190000</v>
      </c>
      <c r="J7" s="14">
        <v>2335</v>
      </c>
      <c r="K7" s="15">
        <f>L7+2217+10130+8365</f>
        <v>23047</v>
      </c>
      <c r="L7" s="15">
        <v>2335</v>
      </c>
      <c r="M7" s="15">
        <f t="shared" si="0"/>
        <v>2335</v>
      </c>
      <c r="N7" s="15">
        <v>0</v>
      </c>
      <c r="O7" s="58">
        <f t="shared" si="1"/>
        <v>0</v>
      </c>
      <c r="P7" s="39">
        <f t="shared" si="2"/>
        <v>11</v>
      </c>
      <c r="Q7" s="40">
        <f t="shared" si="3"/>
        <v>13</v>
      </c>
      <c r="R7" s="7"/>
      <c r="S7" s="6">
        <v>13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0.45833333333333331</v>
      </c>
      <c r="AD7" s="10">
        <f t="shared" si="6"/>
        <v>0.45833333333333331</v>
      </c>
      <c r="AE7" s="36">
        <f t="shared" si="7"/>
        <v>0.375</v>
      </c>
      <c r="AF7" s="84">
        <f t="shared" si="8"/>
        <v>2</v>
      </c>
    </row>
    <row r="8" spans="1:32" ht="30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160000</v>
      </c>
      <c r="J8" s="14">
        <v>10522</v>
      </c>
      <c r="K8" s="15">
        <f>L8+8132+2262+5886</f>
        <v>26802</v>
      </c>
      <c r="L8" s="15">
        <f>2310*2+2951*2</f>
        <v>10522</v>
      </c>
      <c r="M8" s="15">
        <f t="shared" si="0"/>
        <v>10522</v>
      </c>
      <c r="N8" s="15">
        <v>0</v>
      </c>
      <c r="O8" s="58">
        <f t="shared" si="1"/>
        <v>0</v>
      </c>
      <c r="P8" s="39">
        <f t="shared" si="2"/>
        <v>23</v>
      </c>
      <c r="Q8" s="40">
        <f t="shared" si="3"/>
        <v>1</v>
      </c>
      <c r="R8" s="7"/>
      <c r="S8" s="6">
        <v>1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0.95833333333333337</v>
      </c>
      <c r="AD8" s="10">
        <f t="shared" si="6"/>
        <v>0.95833333333333337</v>
      </c>
      <c r="AE8" s="36">
        <f t="shared" si="7"/>
        <v>0.375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116</v>
      </c>
      <c r="D9" s="52" t="s">
        <v>115</v>
      </c>
      <c r="E9" s="53" t="s">
        <v>197</v>
      </c>
      <c r="F9" s="30" t="s">
        <v>171</v>
      </c>
      <c r="G9" s="12">
        <v>1</v>
      </c>
      <c r="H9" s="13">
        <v>24</v>
      </c>
      <c r="I9" s="7">
        <v>17000</v>
      </c>
      <c r="J9" s="14">
        <v>4048</v>
      </c>
      <c r="K9" s="15">
        <f>L9+3449+2796+3887+2239+3580</f>
        <v>19999</v>
      </c>
      <c r="L9" s="15">
        <f>2018+2030</f>
        <v>4048</v>
      </c>
      <c r="M9" s="15">
        <f t="shared" si="0"/>
        <v>4048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0.375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163</v>
      </c>
      <c r="D10" s="52"/>
      <c r="E10" s="53" t="s">
        <v>204</v>
      </c>
      <c r="F10" s="30" t="s">
        <v>205</v>
      </c>
      <c r="G10" s="33">
        <v>2</v>
      </c>
      <c r="H10" s="35">
        <v>24</v>
      </c>
      <c r="I10" s="7">
        <v>100000</v>
      </c>
      <c r="J10" s="14">
        <v>10206</v>
      </c>
      <c r="K10" s="15">
        <f>L10</f>
        <v>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6"/>
        <v>0</v>
      </c>
      <c r="AE10" s="36">
        <f t="shared" si="7"/>
        <v>0.375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116</v>
      </c>
      <c r="D11" s="52" t="s">
        <v>123</v>
      </c>
      <c r="E11" s="53" t="s">
        <v>202</v>
      </c>
      <c r="F11" s="30" t="s">
        <v>128</v>
      </c>
      <c r="G11" s="33">
        <v>1</v>
      </c>
      <c r="H11" s="35">
        <v>24</v>
      </c>
      <c r="I11" s="7">
        <v>17000</v>
      </c>
      <c r="J11" s="14">
        <v>2327</v>
      </c>
      <c r="K11" s="15">
        <f>L11+117+2187+4140+4270+2327</f>
        <v>13041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>
        <v>24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si="6"/>
        <v>0</v>
      </c>
      <c r="AE11" s="36">
        <f t="shared" si="7"/>
        <v>0.375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34" t="s">
        <v>116</v>
      </c>
      <c r="D12" s="52" t="s">
        <v>115</v>
      </c>
      <c r="E12" s="53" t="s">
        <v>286</v>
      </c>
      <c r="F12" s="30" t="s">
        <v>206</v>
      </c>
      <c r="G12" s="12">
        <v>1</v>
      </c>
      <c r="H12" s="13">
        <v>22</v>
      </c>
      <c r="I12" s="31">
        <v>7600</v>
      </c>
      <c r="J12" s="5">
        <v>4872</v>
      </c>
      <c r="K12" s="15">
        <f>L12</f>
        <v>4872</v>
      </c>
      <c r="L12" s="15">
        <f>2572+2300</f>
        <v>4872</v>
      </c>
      <c r="M12" s="15">
        <f t="shared" si="0"/>
        <v>4872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6"/>
        <v>1</v>
      </c>
      <c r="AE12" s="36">
        <f t="shared" si="7"/>
        <v>0.375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112</v>
      </c>
      <c r="D13" s="52" t="s">
        <v>123</v>
      </c>
      <c r="E13" s="53" t="s">
        <v>179</v>
      </c>
      <c r="F13" s="30" t="s">
        <v>128</v>
      </c>
      <c r="G13" s="33">
        <v>2</v>
      </c>
      <c r="H13" s="35">
        <v>35</v>
      </c>
      <c r="I13" s="7">
        <v>190000</v>
      </c>
      <c r="J13" s="14">
        <v>12086</v>
      </c>
      <c r="K13" s="15">
        <f>L13+6644+12322</f>
        <v>31052</v>
      </c>
      <c r="L13" s="15">
        <f>2902*2+3141*2</f>
        <v>12086</v>
      </c>
      <c r="M13" s="15">
        <f t="shared" si="0"/>
        <v>12086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6"/>
        <v>1</v>
      </c>
      <c r="AE13" s="36">
        <f t="shared" si="7"/>
        <v>0.375</v>
      </c>
      <c r="AF13" s="84">
        <f t="shared" si="8"/>
        <v>8</v>
      </c>
    </row>
    <row r="14" spans="1:32" ht="27" customHeight="1">
      <c r="A14" s="105">
        <v>9</v>
      </c>
      <c r="B14" s="11" t="s">
        <v>57</v>
      </c>
      <c r="C14" s="34" t="s">
        <v>112</v>
      </c>
      <c r="D14" s="52" t="s">
        <v>115</v>
      </c>
      <c r="E14" s="53" t="s">
        <v>181</v>
      </c>
      <c r="F14" s="30" t="s">
        <v>171</v>
      </c>
      <c r="G14" s="33">
        <v>1</v>
      </c>
      <c r="H14" s="35">
        <v>50</v>
      </c>
      <c r="I14" s="7">
        <v>500</v>
      </c>
      <c r="J14" s="5">
        <v>608</v>
      </c>
      <c r="K14" s="15">
        <f>L14+290+608</f>
        <v>898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6"/>
        <v>0</v>
      </c>
      <c r="AE14" s="36">
        <f t="shared" si="7"/>
        <v>0.375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116</v>
      </c>
      <c r="D15" s="52" t="s">
        <v>122</v>
      </c>
      <c r="E15" s="53" t="s">
        <v>136</v>
      </c>
      <c r="F15" s="30" t="s">
        <v>131</v>
      </c>
      <c r="G15" s="12">
        <v>4</v>
      </c>
      <c r="H15" s="13">
        <v>24</v>
      </c>
      <c r="I15" s="31">
        <v>12000</v>
      </c>
      <c r="J15" s="14">
        <v>12356</v>
      </c>
      <c r="K15" s="15">
        <f>L15+12356</f>
        <v>12356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0.375</v>
      </c>
      <c r="AF15" s="84">
        <f t="shared" si="8"/>
        <v>10</v>
      </c>
    </row>
    <row r="16" spans="1:32" ht="30" customHeight="1">
      <c r="A16" s="112">
        <v>11</v>
      </c>
      <c r="B16" s="11" t="s">
        <v>57</v>
      </c>
      <c r="C16" s="34" t="s">
        <v>138</v>
      </c>
      <c r="D16" s="52" t="s">
        <v>115</v>
      </c>
      <c r="E16" s="53" t="s">
        <v>274</v>
      </c>
      <c r="F16" s="30" t="s">
        <v>171</v>
      </c>
      <c r="G16" s="12">
        <v>1</v>
      </c>
      <c r="H16" s="13">
        <v>24</v>
      </c>
      <c r="I16" s="7">
        <v>3000</v>
      </c>
      <c r="J16" s="14">
        <v>2920</v>
      </c>
      <c r="K16" s="15">
        <f>L16+2920</f>
        <v>2920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/>
      <c r="X16" s="16"/>
      <c r="Y16" s="16"/>
      <c r="Z16" s="16"/>
      <c r="AA16" s="18">
        <v>24</v>
      </c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0.375</v>
      </c>
      <c r="AF16" s="84">
        <f t="shared" si="8"/>
        <v>11</v>
      </c>
    </row>
    <row r="17" spans="1:32" ht="30" customHeight="1">
      <c r="A17" s="95">
        <v>12</v>
      </c>
      <c r="B17" s="11" t="s">
        <v>57</v>
      </c>
      <c r="C17" s="34" t="s">
        <v>296</v>
      </c>
      <c r="D17" s="52"/>
      <c r="E17" s="53" t="s">
        <v>297</v>
      </c>
      <c r="F17" s="30" t="s">
        <v>298</v>
      </c>
      <c r="G17" s="12">
        <v>4</v>
      </c>
      <c r="H17" s="13">
        <v>24</v>
      </c>
      <c r="I17" s="7">
        <v>40000</v>
      </c>
      <c r="J17" s="14">
        <v>16652</v>
      </c>
      <c r="K17" s="15">
        <f>L17</f>
        <v>16652</v>
      </c>
      <c r="L17" s="15">
        <f>3051*4+1112*4</f>
        <v>16652</v>
      </c>
      <c r="M17" s="15">
        <f t="shared" si="0"/>
        <v>16652</v>
      </c>
      <c r="N17" s="15">
        <v>0</v>
      </c>
      <c r="O17" s="58">
        <f t="shared" si="1"/>
        <v>0</v>
      </c>
      <c r="P17" s="39">
        <f t="shared" si="2"/>
        <v>20</v>
      </c>
      <c r="Q17" s="40">
        <f t="shared" si="3"/>
        <v>4</v>
      </c>
      <c r="R17" s="7"/>
      <c r="S17" s="6"/>
      <c r="T17" s="16">
        <v>4</v>
      </c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0.83333333333333337</v>
      </c>
      <c r="AD17" s="10">
        <f t="shared" si="6"/>
        <v>0.83333333333333337</v>
      </c>
      <c r="AE17" s="36">
        <f t="shared" si="7"/>
        <v>0.375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11" t="s">
        <v>112</v>
      </c>
      <c r="D18" s="52" t="s">
        <v>137</v>
      </c>
      <c r="E18" s="53" t="s">
        <v>191</v>
      </c>
      <c r="F18" s="30" t="s">
        <v>130</v>
      </c>
      <c r="G18" s="33">
        <v>1</v>
      </c>
      <c r="H18" s="35">
        <v>24</v>
      </c>
      <c r="I18" s="7">
        <v>180000</v>
      </c>
      <c r="J18" s="14">
        <v>11002</v>
      </c>
      <c r="K18" s="15">
        <f>L18+9952+11100+11616+11336+11468+11654+10384</f>
        <v>88512</v>
      </c>
      <c r="L18" s="15">
        <f>2625*2+2876*2</f>
        <v>11002</v>
      </c>
      <c r="M18" s="15">
        <f t="shared" si="0"/>
        <v>11002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6"/>
        <v>1</v>
      </c>
      <c r="AE18" s="36">
        <f t="shared" si="7"/>
        <v>0.375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11" t="s">
        <v>112</v>
      </c>
      <c r="D19" s="52" t="s">
        <v>123</v>
      </c>
      <c r="E19" s="53" t="s">
        <v>266</v>
      </c>
      <c r="F19" s="30" t="s">
        <v>128</v>
      </c>
      <c r="G19" s="33">
        <v>1</v>
      </c>
      <c r="H19" s="35">
        <v>24</v>
      </c>
      <c r="I19" s="7">
        <v>3000</v>
      </c>
      <c r="J19" s="14">
        <v>5073</v>
      </c>
      <c r="K19" s="15">
        <f>L19+3173+5073</f>
        <v>8246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/>
      <c r="T19" s="16"/>
      <c r="U19" s="16"/>
      <c r="V19" s="17"/>
      <c r="W19" s="5"/>
      <c r="X19" s="16"/>
      <c r="Y19" s="16"/>
      <c r="Z19" s="16"/>
      <c r="AA19" s="18">
        <v>24</v>
      </c>
      <c r="AB19" s="8">
        <f t="shared" si="4"/>
        <v>0</v>
      </c>
      <c r="AC19" s="9">
        <f t="shared" si="5"/>
        <v>0</v>
      </c>
      <c r="AD19" s="10">
        <f t="shared" si="6"/>
        <v>0</v>
      </c>
      <c r="AE19" s="36">
        <f t="shared" si="7"/>
        <v>0.375</v>
      </c>
      <c r="AF19" s="84">
        <f t="shared" si="8"/>
        <v>14</v>
      </c>
    </row>
    <row r="20" spans="1:32" ht="18.75">
      <c r="A20" s="112">
        <v>15</v>
      </c>
      <c r="B20" s="11" t="s">
        <v>57</v>
      </c>
      <c r="C20" s="34" t="s">
        <v>112</v>
      </c>
      <c r="D20" s="52" t="s">
        <v>115</v>
      </c>
      <c r="E20" s="53" t="s">
        <v>178</v>
      </c>
      <c r="F20" s="30" t="s">
        <v>206</v>
      </c>
      <c r="G20" s="12">
        <v>2</v>
      </c>
      <c r="H20" s="13">
        <v>24</v>
      </c>
      <c r="I20" s="7">
        <v>230000</v>
      </c>
      <c r="J20" s="14">
        <v>10136</v>
      </c>
      <c r="K20" s="15">
        <f>L20+7008+11154+9077+8768+10676+10588+2521+7242+10236+10216+10614+10620+10632+10760+10206</f>
        <v>150454</v>
      </c>
      <c r="L20" s="15">
        <f>2414*2+2654*2</f>
        <v>10136</v>
      </c>
      <c r="M20" s="15">
        <f t="shared" si="0"/>
        <v>10136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6"/>
        <v>1</v>
      </c>
      <c r="AE20" s="36">
        <f t="shared" si="7"/>
        <v>0.375</v>
      </c>
      <c r="AF20" s="84">
        <f t="shared" si="8"/>
        <v>15</v>
      </c>
    </row>
    <row r="21" spans="1:32" ht="19.5" thickBot="1">
      <c r="A21" s="96">
        <v>16</v>
      </c>
      <c r="B21" s="11" t="s">
        <v>57</v>
      </c>
      <c r="C21" s="11" t="s">
        <v>113</v>
      </c>
      <c r="D21" s="52"/>
      <c r="E21" s="53" t="s">
        <v>299</v>
      </c>
      <c r="F21" s="12" t="s">
        <v>114</v>
      </c>
      <c r="G21" s="12">
        <v>4</v>
      </c>
      <c r="H21" s="35">
        <v>20</v>
      </c>
      <c r="I21" s="7">
        <v>1000000</v>
      </c>
      <c r="J21" s="14">
        <v>48172</v>
      </c>
      <c r="K21" s="15">
        <f>L21</f>
        <v>48172</v>
      </c>
      <c r="L21" s="15">
        <f>6381*4+5662*4</f>
        <v>48172</v>
      </c>
      <c r="M21" s="15">
        <f t="shared" si="0"/>
        <v>48172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0.375</v>
      </c>
      <c r="AF21" s="84">
        <f t="shared" si="8"/>
        <v>16</v>
      </c>
    </row>
    <row r="22" spans="1:32" ht="18.75" hidden="1">
      <c r="A22" s="96">
        <v>31</v>
      </c>
      <c r="B22" s="11" t="s">
        <v>57</v>
      </c>
      <c r="C22" s="11"/>
      <c r="D22" s="52"/>
      <c r="E22" s="53"/>
      <c r="F22" s="12"/>
      <c r="G22" s="12"/>
      <c r="H22" s="35">
        <v>20</v>
      </c>
      <c r="I22" s="7"/>
      <c r="J22" s="14">
        <v>0</v>
      </c>
      <c r="K22" s="15">
        <f>L22</f>
        <v>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 t="str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0.375</v>
      </c>
      <c r="AF22" s="84">
        <f t="shared" si="8"/>
        <v>31</v>
      </c>
    </row>
    <row r="23" spans="1:32" ht="18.75" hidden="1">
      <c r="A23" s="96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0.375</v>
      </c>
      <c r="AF23" s="84">
        <f t="shared" si="8"/>
        <v>32</v>
      </c>
    </row>
    <row r="24" spans="1:32" ht="18.75" hidden="1">
      <c r="A24" s="96">
        <v>33</v>
      </c>
      <c r="B24" s="11" t="s">
        <v>57</v>
      </c>
      <c r="C24" s="11" t="s">
        <v>116</v>
      </c>
      <c r="D24" s="52" t="s">
        <v>142</v>
      </c>
      <c r="E24" s="53" t="s">
        <v>146</v>
      </c>
      <c r="F24" s="12" t="s">
        <v>140</v>
      </c>
      <c r="G24" s="12">
        <v>1</v>
      </c>
      <c r="H24" s="35">
        <v>20</v>
      </c>
      <c r="I24" s="7">
        <v>140000</v>
      </c>
      <c r="J24" s="14">
        <v>3244</v>
      </c>
      <c r="K24" s="15">
        <f>L24+4387+7770+5806+7905+7479+7369+7360+2397+6904+7208+7013+6976+6992+2652+6495+7026+7051+7084+4297+6519+7042+3244</f>
        <v>136976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20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0.375</v>
      </c>
      <c r="AF24" s="84">
        <f t="shared" si="8"/>
        <v>33</v>
      </c>
    </row>
    <row r="25" spans="1:32" ht="28.5" hidden="1">
      <c r="A25" s="96">
        <v>34</v>
      </c>
      <c r="B25" s="11" t="s">
        <v>57</v>
      </c>
      <c r="C25" s="11" t="s">
        <v>116</v>
      </c>
      <c r="D25" s="52" t="s">
        <v>142</v>
      </c>
      <c r="E25" s="53" t="s">
        <v>147</v>
      </c>
      <c r="F25" s="12" t="s">
        <v>131</v>
      </c>
      <c r="G25" s="12">
        <v>4</v>
      </c>
      <c r="H25" s="35">
        <v>20</v>
      </c>
      <c r="I25" s="7">
        <v>240000</v>
      </c>
      <c r="J25" s="14">
        <v>9988</v>
      </c>
      <c r="K25" s="15">
        <f>L25+24768+29084+29040+29804+27780+4064+26996+28972+25428+29132+9988</f>
        <v>265056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0.375</v>
      </c>
      <c r="AF25" s="84">
        <f t="shared" si="8"/>
        <v>34</v>
      </c>
    </row>
    <row r="26" spans="1:32" ht="28.5" hidden="1">
      <c r="A26" s="96">
        <v>35</v>
      </c>
      <c r="B26" s="11" t="s">
        <v>57</v>
      </c>
      <c r="C26" s="11" t="s">
        <v>116</v>
      </c>
      <c r="D26" s="52" t="s">
        <v>122</v>
      </c>
      <c r="E26" s="53" t="s">
        <v>133</v>
      </c>
      <c r="F26" s="12" t="s">
        <v>131</v>
      </c>
      <c r="G26" s="12">
        <v>4</v>
      </c>
      <c r="H26" s="35">
        <v>20</v>
      </c>
      <c r="I26" s="7">
        <v>240000</v>
      </c>
      <c r="J26" s="14">
        <v>11600</v>
      </c>
      <c r="K26" s="15">
        <f>L26+25004+29968+31848+29672+31736+27000+29200+29420+29140+11600</f>
        <v>274588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0.375</v>
      </c>
      <c r="AF26" s="84">
        <f t="shared" si="8"/>
        <v>35</v>
      </c>
    </row>
    <row r="27" spans="1:32" ht="19.5" hidden="1" thickBot="1">
      <c r="A27" s="96">
        <v>36</v>
      </c>
      <c r="B27" s="11" t="s">
        <v>57</v>
      </c>
      <c r="C27" s="11" t="s">
        <v>173</v>
      </c>
      <c r="D27" s="52"/>
      <c r="E27" s="53" t="s">
        <v>174</v>
      </c>
      <c r="F27" s="12" t="s">
        <v>175</v>
      </c>
      <c r="G27" s="12">
        <v>32</v>
      </c>
      <c r="H27" s="35">
        <v>20</v>
      </c>
      <c r="I27" s="7">
        <v>700000</v>
      </c>
      <c r="J27" s="14">
        <v>89792</v>
      </c>
      <c r="K27" s="15">
        <f>L27+326528+448864+89792</f>
        <v>865184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0.375</v>
      </c>
      <c r="AF27" s="84">
        <f t="shared" si="8"/>
        <v>36</v>
      </c>
    </row>
    <row r="28" spans="1:32" ht="19.5" thickBot="1">
      <c r="A28" s="549" t="s">
        <v>34</v>
      </c>
      <c r="B28" s="550"/>
      <c r="C28" s="550"/>
      <c r="D28" s="550"/>
      <c r="E28" s="550"/>
      <c r="F28" s="550"/>
      <c r="G28" s="550"/>
      <c r="H28" s="551"/>
      <c r="I28" s="22">
        <f t="shared" ref="I28:N28" si="9">SUM(I6:I27)</f>
        <v>3655100</v>
      </c>
      <c r="J28" s="19">
        <f t="shared" si="9"/>
        <v>279173</v>
      </c>
      <c r="K28" s="20">
        <f t="shared" si="9"/>
        <v>2120331</v>
      </c>
      <c r="L28" s="21">
        <f t="shared" si="9"/>
        <v>119825</v>
      </c>
      <c r="M28" s="20">
        <f t="shared" si="9"/>
        <v>119825</v>
      </c>
      <c r="N28" s="21">
        <f t="shared" si="9"/>
        <v>0</v>
      </c>
      <c r="O28" s="41">
        <f t="shared" si="1"/>
        <v>0</v>
      </c>
      <c r="P28" s="42">
        <f t="shared" ref="P28:AA28" si="10">SUM(P6:P27)</f>
        <v>198</v>
      </c>
      <c r="Q28" s="43">
        <f t="shared" si="10"/>
        <v>330</v>
      </c>
      <c r="R28" s="23">
        <f t="shared" si="10"/>
        <v>0</v>
      </c>
      <c r="S28" s="24">
        <f t="shared" si="10"/>
        <v>86</v>
      </c>
      <c r="T28" s="24">
        <f t="shared" si="10"/>
        <v>4</v>
      </c>
      <c r="U28" s="24">
        <f t="shared" si="10"/>
        <v>0</v>
      </c>
      <c r="V28" s="25">
        <f t="shared" si="10"/>
        <v>48</v>
      </c>
      <c r="W28" s="26">
        <f t="shared" si="10"/>
        <v>144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48</v>
      </c>
      <c r="AB28" s="28">
        <f>AVERAGE(AB6:AB27)</f>
        <v>0.45</v>
      </c>
      <c r="AC28" s="4">
        <f>AVERAGE(AC6:AC27)</f>
        <v>0.375</v>
      </c>
      <c r="AD28" s="4">
        <f>AVERAGE(AD6:AD27)</f>
        <v>0.375</v>
      </c>
      <c r="AE28" s="29"/>
    </row>
    <row r="29" spans="1:32">
      <c r="T29" s="50" t="s">
        <v>143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144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5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552" t="s">
        <v>45</v>
      </c>
      <c r="B55" s="552"/>
      <c r="C55" s="552"/>
      <c r="D55" s="552"/>
      <c r="E55" s="55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553" t="s">
        <v>300</v>
      </c>
      <c r="B56" s="554"/>
      <c r="C56" s="554"/>
      <c r="D56" s="554"/>
      <c r="E56" s="554"/>
      <c r="F56" s="554"/>
      <c r="G56" s="554"/>
      <c r="H56" s="554"/>
      <c r="I56" s="554"/>
      <c r="J56" s="554"/>
      <c r="K56" s="554"/>
      <c r="L56" s="554"/>
      <c r="M56" s="555"/>
      <c r="N56" s="556" t="s">
        <v>303</v>
      </c>
      <c r="O56" s="557"/>
      <c r="P56" s="557"/>
      <c r="Q56" s="557"/>
      <c r="R56" s="557"/>
      <c r="S56" s="557"/>
      <c r="T56" s="557"/>
      <c r="U56" s="557"/>
      <c r="V56" s="557"/>
      <c r="W56" s="557"/>
      <c r="X56" s="557"/>
      <c r="Y56" s="557"/>
      <c r="Z56" s="557"/>
      <c r="AA56" s="557"/>
      <c r="AB56" s="557"/>
      <c r="AC56" s="557"/>
      <c r="AD56" s="558"/>
    </row>
    <row r="57" spans="1:32" ht="27" customHeight="1">
      <c r="A57" s="559" t="s">
        <v>2</v>
      </c>
      <c r="B57" s="560"/>
      <c r="C57" s="207" t="s">
        <v>46</v>
      </c>
      <c r="D57" s="207" t="s">
        <v>47</v>
      </c>
      <c r="E57" s="207" t="s">
        <v>107</v>
      </c>
      <c r="F57" s="561" t="s">
        <v>106</v>
      </c>
      <c r="G57" s="562"/>
      <c r="H57" s="562"/>
      <c r="I57" s="562"/>
      <c r="J57" s="562"/>
      <c r="K57" s="562"/>
      <c r="L57" s="562"/>
      <c r="M57" s="563"/>
      <c r="N57" s="67" t="s">
        <v>110</v>
      </c>
      <c r="O57" s="207" t="s">
        <v>46</v>
      </c>
      <c r="P57" s="561" t="s">
        <v>47</v>
      </c>
      <c r="Q57" s="564"/>
      <c r="R57" s="561" t="s">
        <v>38</v>
      </c>
      <c r="S57" s="562"/>
      <c r="T57" s="562"/>
      <c r="U57" s="564"/>
      <c r="V57" s="561" t="s">
        <v>48</v>
      </c>
      <c r="W57" s="562"/>
      <c r="X57" s="562"/>
      <c r="Y57" s="562"/>
      <c r="Z57" s="562"/>
      <c r="AA57" s="562"/>
      <c r="AB57" s="562"/>
      <c r="AC57" s="562"/>
      <c r="AD57" s="563"/>
    </row>
    <row r="58" spans="1:32" ht="27" customHeight="1">
      <c r="A58" s="543" t="s">
        <v>138</v>
      </c>
      <c r="B58" s="533"/>
      <c r="C58" s="210" t="s">
        <v>217</v>
      </c>
      <c r="D58" s="210" t="s">
        <v>142</v>
      </c>
      <c r="E58" s="210" t="s">
        <v>241</v>
      </c>
      <c r="F58" s="530" t="s">
        <v>301</v>
      </c>
      <c r="G58" s="531"/>
      <c r="H58" s="531"/>
      <c r="I58" s="531"/>
      <c r="J58" s="531"/>
      <c r="K58" s="531"/>
      <c r="L58" s="531"/>
      <c r="M58" s="532"/>
      <c r="N58" s="209" t="s">
        <v>138</v>
      </c>
      <c r="O58" s="215" t="s">
        <v>201</v>
      </c>
      <c r="P58" s="544"/>
      <c r="Q58" s="545"/>
      <c r="R58" s="544" t="s">
        <v>304</v>
      </c>
      <c r="S58" s="546"/>
      <c r="T58" s="546"/>
      <c r="U58" s="545"/>
      <c r="V58" s="517" t="s">
        <v>124</v>
      </c>
      <c r="W58" s="517"/>
      <c r="X58" s="517"/>
      <c r="Y58" s="517"/>
      <c r="Z58" s="517"/>
      <c r="AA58" s="517"/>
      <c r="AB58" s="517"/>
      <c r="AC58" s="517"/>
      <c r="AD58" s="534"/>
    </row>
    <row r="59" spans="1:32" ht="27" customHeight="1">
      <c r="A59" s="543" t="s">
        <v>138</v>
      </c>
      <c r="B59" s="533"/>
      <c r="C59" s="210" t="s">
        <v>156</v>
      </c>
      <c r="D59" s="210" t="s">
        <v>115</v>
      </c>
      <c r="E59" s="210" t="s">
        <v>253</v>
      </c>
      <c r="F59" s="530" t="s">
        <v>302</v>
      </c>
      <c r="G59" s="531"/>
      <c r="H59" s="531"/>
      <c r="I59" s="531"/>
      <c r="J59" s="531"/>
      <c r="K59" s="531"/>
      <c r="L59" s="531"/>
      <c r="M59" s="532"/>
      <c r="N59" s="209" t="s">
        <v>138</v>
      </c>
      <c r="O59" s="215" t="s">
        <v>200</v>
      </c>
      <c r="P59" s="544" t="s">
        <v>135</v>
      </c>
      <c r="Q59" s="545"/>
      <c r="R59" s="544" t="s">
        <v>305</v>
      </c>
      <c r="S59" s="546"/>
      <c r="T59" s="546"/>
      <c r="U59" s="545"/>
      <c r="V59" s="517" t="s">
        <v>124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116</v>
      </c>
      <c r="B60" s="533"/>
      <c r="C60" s="210" t="s">
        <v>201</v>
      </c>
      <c r="D60" s="210" t="s">
        <v>135</v>
      </c>
      <c r="E60" s="210" t="s">
        <v>202</v>
      </c>
      <c r="F60" s="530" t="s">
        <v>172</v>
      </c>
      <c r="G60" s="531"/>
      <c r="H60" s="531"/>
      <c r="I60" s="531"/>
      <c r="J60" s="531"/>
      <c r="K60" s="531"/>
      <c r="L60" s="531"/>
      <c r="M60" s="532"/>
      <c r="N60" s="209" t="s">
        <v>112</v>
      </c>
      <c r="O60" s="215" t="s">
        <v>161</v>
      </c>
      <c r="P60" s="544" t="s">
        <v>115</v>
      </c>
      <c r="Q60" s="545"/>
      <c r="R60" s="544" t="s">
        <v>213</v>
      </c>
      <c r="S60" s="546"/>
      <c r="T60" s="546"/>
      <c r="U60" s="545"/>
      <c r="V60" s="517" t="s">
        <v>124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296</v>
      </c>
      <c r="B61" s="533"/>
      <c r="C61" s="210" t="s">
        <v>164</v>
      </c>
      <c r="D61" s="210"/>
      <c r="E61" s="210" t="s">
        <v>297</v>
      </c>
      <c r="F61" s="530" t="s">
        <v>124</v>
      </c>
      <c r="G61" s="531"/>
      <c r="H61" s="531"/>
      <c r="I61" s="531"/>
      <c r="J61" s="531"/>
      <c r="K61" s="531"/>
      <c r="L61" s="531"/>
      <c r="M61" s="532"/>
      <c r="N61" s="209" t="s">
        <v>113</v>
      </c>
      <c r="O61" s="215" t="s">
        <v>289</v>
      </c>
      <c r="P61" s="544"/>
      <c r="Q61" s="545"/>
      <c r="R61" s="544" t="s">
        <v>306</v>
      </c>
      <c r="S61" s="546"/>
      <c r="T61" s="546"/>
      <c r="U61" s="545"/>
      <c r="V61" s="517" t="s">
        <v>124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 t="s">
        <v>116</v>
      </c>
      <c r="B62" s="533"/>
      <c r="C62" s="210" t="s">
        <v>287</v>
      </c>
      <c r="D62" s="210" t="s">
        <v>115</v>
      </c>
      <c r="E62" s="210" t="s">
        <v>286</v>
      </c>
      <c r="F62" s="530" t="s">
        <v>124</v>
      </c>
      <c r="G62" s="531"/>
      <c r="H62" s="531"/>
      <c r="I62" s="531"/>
      <c r="J62" s="531"/>
      <c r="K62" s="531"/>
      <c r="L62" s="531"/>
      <c r="M62" s="532"/>
      <c r="N62" s="209" t="s">
        <v>112</v>
      </c>
      <c r="O62" s="215" t="s">
        <v>307</v>
      </c>
      <c r="P62" s="544" t="s">
        <v>127</v>
      </c>
      <c r="Q62" s="545"/>
      <c r="R62" s="544" t="s">
        <v>180</v>
      </c>
      <c r="S62" s="546"/>
      <c r="T62" s="546"/>
      <c r="U62" s="545"/>
      <c r="V62" s="517" t="s">
        <v>120</v>
      </c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/>
      <c r="B63" s="533"/>
      <c r="C63" s="210"/>
      <c r="D63" s="210"/>
      <c r="E63" s="210"/>
      <c r="F63" s="530"/>
      <c r="G63" s="531"/>
      <c r="H63" s="531"/>
      <c r="I63" s="531"/>
      <c r="J63" s="531"/>
      <c r="K63" s="531"/>
      <c r="L63" s="531"/>
      <c r="M63" s="532"/>
      <c r="N63" s="209" t="s">
        <v>112</v>
      </c>
      <c r="O63" s="215" t="s">
        <v>210</v>
      </c>
      <c r="P63" s="544" t="s">
        <v>115</v>
      </c>
      <c r="Q63" s="545"/>
      <c r="R63" s="544" t="s">
        <v>308</v>
      </c>
      <c r="S63" s="546"/>
      <c r="T63" s="546"/>
      <c r="U63" s="545"/>
      <c r="V63" s="517" t="s">
        <v>124</v>
      </c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/>
      <c r="B64" s="533"/>
      <c r="C64" s="210"/>
      <c r="D64" s="210"/>
      <c r="E64" s="210"/>
      <c r="F64" s="530"/>
      <c r="G64" s="531"/>
      <c r="H64" s="531"/>
      <c r="I64" s="531"/>
      <c r="J64" s="531"/>
      <c r="K64" s="531"/>
      <c r="L64" s="531"/>
      <c r="M64" s="532"/>
      <c r="N64" s="209"/>
      <c r="O64" s="215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28"/>
      <c r="B65" s="529"/>
      <c r="C65" s="208"/>
      <c r="D65" s="208"/>
      <c r="E65" s="210"/>
      <c r="F65" s="530"/>
      <c r="G65" s="531"/>
      <c r="H65" s="531"/>
      <c r="I65" s="531"/>
      <c r="J65" s="531"/>
      <c r="K65" s="531"/>
      <c r="L65" s="531"/>
      <c r="M65" s="532"/>
      <c r="N65" s="209"/>
      <c r="O65" s="215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/>
      <c r="B66" s="529"/>
      <c r="C66" s="208"/>
      <c r="D66" s="208"/>
      <c r="E66" s="210"/>
      <c r="F66" s="530"/>
      <c r="G66" s="531"/>
      <c r="H66" s="531"/>
      <c r="I66" s="531"/>
      <c r="J66" s="531"/>
      <c r="K66" s="531"/>
      <c r="L66" s="531"/>
      <c r="M66" s="532"/>
      <c r="N66" s="209"/>
      <c r="O66" s="215"/>
      <c r="P66" s="533"/>
      <c r="Q66" s="533"/>
      <c r="R66" s="533"/>
      <c r="S66" s="533"/>
      <c r="T66" s="533"/>
      <c r="U66" s="533"/>
      <c r="V66" s="517"/>
      <c r="W66" s="517"/>
      <c r="X66" s="517"/>
      <c r="Y66" s="517"/>
      <c r="Z66" s="517"/>
      <c r="AA66" s="517"/>
      <c r="AB66" s="517"/>
      <c r="AC66" s="517"/>
      <c r="AD66" s="534"/>
      <c r="AF66" s="84">
        <f>8*3000</f>
        <v>24000</v>
      </c>
    </row>
    <row r="67" spans="1:32" ht="27" customHeight="1" thickBot="1">
      <c r="A67" s="535"/>
      <c r="B67" s="536"/>
      <c r="C67" s="211"/>
      <c r="D67" s="212"/>
      <c r="E67" s="211"/>
      <c r="F67" s="537"/>
      <c r="G67" s="538"/>
      <c r="H67" s="538"/>
      <c r="I67" s="538"/>
      <c r="J67" s="538"/>
      <c r="K67" s="538"/>
      <c r="L67" s="538"/>
      <c r="M67" s="539"/>
      <c r="N67" s="111"/>
      <c r="O67" s="103"/>
      <c r="P67" s="540"/>
      <c r="Q67" s="540"/>
      <c r="R67" s="540"/>
      <c r="S67" s="540"/>
      <c r="T67" s="540"/>
      <c r="U67" s="540"/>
      <c r="V67" s="541"/>
      <c r="W67" s="541"/>
      <c r="X67" s="541"/>
      <c r="Y67" s="541"/>
      <c r="Z67" s="541"/>
      <c r="AA67" s="541"/>
      <c r="AB67" s="541"/>
      <c r="AC67" s="541"/>
      <c r="AD67" s="542"/>
      <c r="AF67" s="84">
        <f>16*3000</f>
        <v>48000</v>
      </c>
    </row>
    <row r="68" spans="1:32" ht="27.75" thickBot="1">
      <c r="A68" s="526" t="s">
        <v>309</v>
      </c>
      <c r="B68" s="526"/>
      <c r="C68" s="526"/>
      <c r="D68" s="526"/>
      <c r="E68" s="526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4">
        <v>24000</v>
      </c>
    </row>
    <row r="69" spans="1:32" ht="29.25" customHeight="1" thickBot="1">
      <c r="A69" s="527" t="s">
        <v>111</v>
      </c>
      <c r="B69" s="524"/>
      <c r="C69" s="213" t="s">
        <v>2</v>
      </c>
      <c r="D69" s="213" t="s">
        <v>37</v>
      </c>
      <c r="E69" s="213" t="s">
        <v>3</v>
      </c>
      <c r="F69" s="524" t="s">
        <v>109</v>
      </c>
      <c r="G69" s="524"/>
      <c r="H69" s="524"/>
      <c r="I69" s="524"/>
      <c r="J69" s="524"/>
      <c r="K69" s="524" t="s">
        <v>39</v>
      </c>
      <c r="L69" s="524"/>
      <c r="M69" s="213" t="s">
        <v>40</v>
      </c>
      <c r="N69" s="524" t="s">
        <v>41</v>
      </c>
      <c r="O69" s="524"/>
      <c r="P69" s="521" t="s">
        <v>42</v>
      </c>
      <c r="Q69" s="523"/>
      <c r="R69" s="521" t="s">
        <v>43</v>
      </c>
      <c r="S69" s="522"/>
      <c r="T69" s="522"/>
      <c r="U69" s="522"/>
      <c r="V69" s="522"/>
      <c r="W69" s="522"/>
      <c r="X69" s="522"/>
      <c r="Y69" s="522"/>
      <c r="Z69" s="522"/>
      <c r="AA69" s="523"/>
      <c r="AB69" s="524" t="s">
        <v>44</v>
      </c>
      <c r="AC69" s="524"/>
      <c r="AD69" s="525"/>
      <c r="AF69" s="84">
        <f>SUM(AF66:AF68)</f>
        <v>96000</v>
      </c>
    </row>
    <row r="70" spans="1:32" ht="25.5" customHeight="1">
      <c r="A70" s="512">
        <v>1</v>
      </c>
      <c r="B70" s="513"/>
      <c r="C70" s="104" t="s">
        <v>112</v>
      </c>
      <c r="D70" s="217"/>
      <c r="E70" s="214" t="s">
        <v>135</v>
      </c>
      <c r="F70" s="518" t="s">
        <v>310</v>
      </c>
      <c r="G70" s="519"/>
      <c r="H70" s="519"/>
      <c r="I70" s="519"/>
      <c r="J70" s="520"/>
      <c r="K70" s="504" t="s">
        <v>128</v>
      </c>
      <c r="L70" s="504"/>
      <c r="M70" s="51" t="s">
        <v>316</v>
      </c>
      <c r="N70" s="515" t="s">
        <v>210</v>
      </c>
      <c r="O70" s="515"/>
      <c r="P70" s="516">
        <v>50</v>
      </c>
      <c r="Q70" s="516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04"/>
      <c r="AC70" s="504"/>
      <c r="AD70" s="505"/>
      <c r="AF70" s="50"/>
    </row>
    <row r="71" spans="1:32" ht="25.5" customHeight="1">
      <c r="A71" s="512">
        <v>2</v>
      </c>
      <c r="B71" s="513"/>
      <c r="C71" s="104" t="s">
        <v>112</v>
      </c>
      <c r="D71" s="217"/>
      <c r="E71" s="214" t="s">
        <v>135</v>
      </c>
      <c r="F71" s="518" t="s">
        <v>311</v>
      </c>
      <c r="G71" s="519"/>
      <c r="H71" s="519"/>
      <c r="I71" s="519"/>
      <c r="J71" s="520"/>
      <c r="K71" s="504" t="s">
        <v>128</v>
      </c>
      <c r="L71" s="504"/>
      <c r="M71" s="51" t="s">
        <v>316</v>
      </c>
      <c r="N71" s="515" t="s">
        <v>210</v>
      </c>
      <c r="O71" s="515"/>
      <c r="P71" s="516">
        <v>50</v>
      </c>
      <c r="Q71" s="516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3</v>
      </c>
      <c r="B72" s="513"/>
      <c r="C72" s="104" t="s">
        <v>112</v>
      </c>
      <c r="D72" s="217"/>
      <c r="E72" s="214" t="s">
        <v>115</v>
      </c>
      <c r="F72" s="518" t="s">
        <v>312</v>
      </c>
      <c r="G72" s="519"/>
      <c r="H72" s="519"/>
      <c r="I72" s="519"/>
      <c r="J72" s="520"/>
      <c r="K72" s="504" t="s">
        <v>128</v>
      </c>
      <c r="L72" s="504"/>
      <c r="M72" s="51" t="s">
        <v>316</v>
      </c>
      <c r="N72" s="515" t="s">
        <v>210</v>
      </c>
      <c r="O72" s="515"/>
      <c r="P72" s="516">
        <v>50</v>
      </c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4</v>
      </c>
      <c r="B73" s="513"/>
      <c r="C73" s="104" t="s">
        <v>112</v>
      </c>
      <c r="D73" s="217"/>
      <c r="E73" s="214" t="s">
        <v>137</v>
      </c>
      <c r="F73" s="518" t="s">
        <v>313</v>
      </c>
      <c r="G73" s="519"/>
      <c r="H73" s="519"/>
      <c r="I73" s="519"/>
      <c r="J73" s="520"/>
      <c r="K73" s="504" t="s">
        <v>130</v>
      </c>
      <c r="L73" s="504"/>
      <c r="M73" s="51" t="s">
        <v>316</v>
      </c>
      <c r="N73" s="515" t="s">
        <v>210</v>
      </c>
      <c r="O73" s="515"/>
      <c r="P73" s="516">
        <v>50</v>
      </c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5</v>
      </c>
      <c r="B74" s="513"/>
      <c r="C74" s="104" t="s">
        <v>112</v>
      </c>
      <c r="D74" s="217"/>
      <c r="E74" s="214" t="s">
        <v>115</v>
      </c>
      <c r="F74" s="518" t="s">
        <v>276</v>
      </c>
      <c r="G74" s="519"/>
      <c r="H74" s="519"/>
      <c r="I74" s="519"/>
      <c r="J74" s="520"/>
      <c r="K74" s="504" t="s">
        <v>128</v>
      </c>
      <c r="L74" s="504"/>
      <c r="M74" s="51" t="s">
        <v>216</v>
      </c>
      <c r="N74" s="515" t="s">
        <v>210</v>
      </c>
      <c r="O74" s="515"/>
      <c r="P74" s="516"/>
      <c r="Q74" s="516"/>
      <c r="R74" s="517" t="s">
        <v>317</v>
      </c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6</v>
      </c>
      <c r="B75" s="513"/>
      <c r="C75" s="104" t="s">
        <v>112</v>
      </c>
      <c r="D75" s="217"/>
      <c r="E75" s="214" t="s">
        <v>137</v>
      </c>
      <c r="F75" s="518" t="s">
        <v>314</v>
      </c>
      <c r="G75" s="519"/>
      <c r="H75" s="519"/>
      <c r="I75" s="519"/>
      <c r="J75" s="520"/>
      <c r="K75" s="504" t="s">
        <v>130</v>
      </c>
      <c r="L75" s="504"/>
      <c r="M75" s="51" t="s">
        <v>316</v>
      </c>
      <c r="N75" s="515" t="s">
        <v>161</v>
      </c>
      <c r="O75" s="515"/>
      <c r="P75" s="516">
        <v>50</v>
      </c>
      <c r="Q75" s="516"/>
      <c r="R75" s="517" t="s">
        <v>318</v>
      </c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7</v>
      </c>
      <c r="B76" s="513"/>
      <c r="C76" s="104" t="s">
        <v>112</v>
      </c>
      <c r="D76" s="217"/>
      <c r="E76" s="214" t="s">
        <v>115</v>
      </c>
      <c r="F76" s="518" t="s">
        <v>315</v>
      </c>
      <c r="G76" s="519"/>
      <c r="H76" s="519"/>
      <c r="I76" s="519"/>
      <c r="J76" s="520"/>
      <c r="K76" s="504" t="s">
        <v>128</v>
      </c>
      <c r="L76" s="504"/>
      <c r="M76" s="51" t="s">
        <v>316</v>
      </c>
      <c r="N76" s="515" t="s">
        <v>161</v>
      </c>
      <c r="O76" s="515"/>
      <c r="P76" s="516">
        <v>50</v>
      </c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8</v>
      </c>
      <c r="B77" s="513"/>
      <c r="C77" s="104"/>
      <c r="D77" s="217"/>
      <c r="E77" s="214"/>
      <c r="F77" s="514"/>
      <c r="G77" s="504"/>
      <c r="H77" s="504"/>
      <c r="I77" s="504"/>
      <c r="J77" s="504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9</v>
      </c>
      <c r="B78" s="513"/>
      <c r="C78" s="104"/>
      <c r="D78" s="217"/>
      <c r="E78" s="214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10</v>
      </c>
      <c r="B79" s="513"/>
      <c r="C79" s="104"/>
      <c r="D79" s="217"/>
      <c r="E79" s="214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6.25" customHeight="1" thickBot="1">
      <c r="A80" s="484" t="s">
        <v>319</v>
      </c>
      <c r="B80" s="484"/>
      <c r="C80" s="484"/>
      <c r="D80" s="484"/>
      <c r="E80" s="484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506" t="s">
        <v>111</v>
      </c>
      <c r="B81" s="507"/>
      <c r="C81" s="216" t="s">
        <v>2</v>
      </c>
      <c r="D81" s="216" t="s">
        <v>37</v>
      </c>
      <c r="E81" s="216" t="s">
        <v>121</v>
      </c>
      <c r="F81" s="486" t="s">
        <v>38</v>
      </c>
      <c r="G81" s="486"/>
      <c r="H81" s="486"/>
      <c r="I81" s="486"/>
      <c r="J81" s="486"/>
      <c r="K81" s="508" t="s">
        <v>58</v>
      </c>
      <c r="L81" s="509"/>
      <c r="M81" s="509"/>
      <c r="N81" s="509"/>
      <c r="O81" s="509"/>
      <c r="P81" s="509"/>
      <c r="Q81" s="509"/>
      <c r="R81" s="509"/>
      <c r="S81" s="510"/>
      <c r="T81" s="486" t="s">
        <v>49</v>
      </c>
      <c r="U81" s="486"/>
      <c r="V81" s="508" t="s">
        <v>50</v>
      </c>
      <c r="W81" s="510"/>
      <c r="X81" s="509" t="s">
        <v>51</v>
      </c>
      <c r="Y81" s="509"/>
      <c r="Z81" s="509"/>
      <c r="AA81" s="509"/>
      <c r="AB81" s="509"/>
      <c r="AC81" s="509"/>
      <c r="AD81" s="511"/>
      <c r="AF81" s="50"/>
    </row>
    <row r="82" spans="1:32" ht="33.75" customHeight="1">
      <c r="A82" s="478">
        <v>1</v>
      </c>
      <c r="B82" s="479"/>
      <c r="C82" s="218"/>
      <c r="D82" s="218"/>
      <c r="E82" s="65"/>
      <c r="F82" s="493"/>
      <c r="G82" s="494"/>
      <c r="H82" s="494"/>
      <c r="I82" s="494"/>
      <c r="J82" s="495"/>
      <c r="K82" s="496"/>
      <c r="L82" s="497"/>
      <c r="M82" s="497"/>
      <c r="N82" s="497"/>
      <c r="O82" s="497"/>
      <c r="P82" s="497"/>
      <c r="Q82" s="497"/>
      <c r="R82" s="497"/>
      <c r="S82" s="498"/>
      <c r="T82" s="499"/>
      <c r="U82" s="500"/>
      <c r="V82" s="501"/>
      <c r="W82" s="501"/>
      <c r="X82" s="502"/>
      <c r="Y82" s="502"/>
      <c r="Z82" s="502"/>
      <c r="AA82" s="502"/>
      <c r="AB82" s="502"/>
      <c r="AC82" s="502"/>
      <c r="AD82" s="503"/>
      <c r="AF82" s="50"/>
    </row>
    <row r="83" spans="1:32" ht="30" customHeight="1">
      <c r="A83" s="471">
        <f>A82+1</f>
        <v>2</v>
      </c>
      <c r="B83" s="472"/>
      <c r="C83" s="217"/>
      <c r="D83" s="217"/>
      <c r="E83" s="32"/>
      <c r="F83" s="472"/>
      <c r="G83" s="472"/>
      <c r="H83" s="472"/>
      <c r="I83" s="472"/>
      <c r="J83" s="472"/>
      <c r="K83" s="487"/>
      <c r="L83" s="488"/>
      <c r="M83" s="488"/>
      <c r="N83" s="488"/>
      <c r="O83" s="488"/>
      <c r="P83" s="488"/>
      <c r="Q83" s="488"/>
      <c r="R83" s="488"/>
      <c r="S83" s="489"/>
      <c r="T83" s="490"/>
      <c r="U83" s="490"/>
      <c r="V83" s="490"/>
      <c r="W83" s="490"/>
      <c r="X83" s="491"/>
      <c r="Y83" s="491"/>
      <c r="Z83" s="491"/>
      <c r="AA83" s="491"/>
      <c r="AB83" s="491"/>
      <c r="AC83" s="491"/>
      <c r="AD83" s="492"/>
      <c r="AF83" s="50"/>
    </row>
    <row r="84" spans="1:32" ht="30" customHeight="1">
      <c r="A84" s="471">
        <f t="shared" ref="A84:A88" si="11">A83+1</f>
        <v>3</v>
      </c>
      <c r="B84" s="472"/>
      <c r="C84" s="217"/>
      <c r="D84" s="217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si="11"/>
        <v>4</v>
      </c>
      <c r="B85" s="472"/>
      <c r="C85" s="217"/>
      <c r="D85" s="217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1"/>
        <v>5</v>
      </c>
      <c r="B86" s="472"/>
      <c r="C86" s="217"/>
      <c r="D86" s="217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1"/>
        <v>6</v>
      </c>
      <c r="B87" s="472"/>
      <c r="C87" s="217"/>
      <c r="D87" s="217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1"/>
        <v>7</v>
      </c>
      <c r="B88" s="472"/>
      <c r="C88" s="217"/>
      <c r="D88" s="217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6" thickBot="1">
      <c r="A89" s="484" t="s">
        <v>320</v>
      </c>
      <c r="B89" s="484"/>
      <c r="C89" s="484"/>
      <c r="D89" s="484"/>
      <c r="E89" s="484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485" t="s">
        <v>111</v>
      </c>
      <c r="B90" s="486"/>
      <c r="C90" s="476" t="s">
        <v>52</v>
      </c>
      <c r="D90" s="476"/>
      <c r="E90" s="476" t="s">
        <v>53</v>
      </c>
      <c r="F90" s="476"/>
      <c r="G90" s="476"/>
      <c r="H90" s="476"/>
      <c r="I90" s="476"/>
      <c r="J90" s="476"/>
      <c r="K90" s="476" t="s">
        <v>54</v>
      </c>
      <c r="L90" s="476"/>
      <c r="M90" s="476"/>
      <c r="N90" s="476"/>
      <c r="O90" s="476"/>
      <c r="P90" s="476"/>
      <c r="Q90" s="476"/>
      <c r="R90" s="476"/>
      <c r="S90" s="476"/>
      <c r="T90" s="476" t="s">
        <v>55</v>
      </c>
      <c r="U90" s="476"/>
      <c r="V90" s="476" t="s">
        <v>56</v>
      </c>
      <c r="W90" s="476"/>
      <c r="X90" s="476"/>
      <c r="Y90" s="476" t="s">
        <v>51</v>
      </c>
      <c r="Z90" s="476"/>
      <c r="AA90" s="476"/>
      <c r="AB90" s="476"/>
      <c r="AC90" s="476"/>
      <c r="AD90" s="477"/>
      <c r="AF90" s="50"/>
    </row>
    <row r="91" spans="1:32" ht="30.75" customHeight="1">
      <c r="A91" s="478">
        <v>1</v>
      </c>
      <c r="B91" s="479"/>
      <c r="C91" s="480">
        <v>9</v>
      </c>
      <c r="D91" s="480"/>
      <c r="E91" s="480" t="s">
        <v>125</v>
      </c>
      <c r="F91" s="480"/>
      <c r="G91" s="480"/>
      <c r="H91" s="480"/>
      <c r="I91" s="480"/>
      <c r="J91" s="480"/>
      <c r="K91" s="480" t="s">
        <v>132</v>
      </c>
      <c r="L91" s="480"/>
      <c r="M91" s="480"/>
      <c r="N91" s="480"/>
      <c r="O91" s="480"/>
      <c r="P91" s="480"/>
      <c r="Q91" s="480"/>
      <c r="R91" s="480"/>
      <c r="S91" s="480"/>
      <c r="T91" s="480" t="s">
        <v>126</v>
      </c>
      <c r="U91" s="480"/>
      <c r="V91" s="481" t="s">
        <v>129</v>
      </c>
      <c r="W91" s="481"/>
      <c r="X91" s="481"/>
      <c r="Y91" s="482"/>
      <c r="Z91" s="482"/>
      <c r="AA91" s="482"/>
      <c r="AB91" s="482"/>
      <c r="AC91" s="482"/>
      <c r="AD91" s="483"/>
      <c r="AF91" s="50"/>
    </row>
    <row r="92" spans="1:32" ht="30.75" customHeight="1">
      <c r="A92" s="471">
        <v>2</v>
      </c>
      <c r="B92" s="472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4"/>
      <c r="U92" s="474"/>
      <c r="V92" s="475"/>
      <c r="W92" s="475"/>
      <c r="X92" s="475"/>
      <c r="Y92" s="463"/>
      <c r="Z92" s="463"/>
      <c r="AA92" s="463"/>
      <c r="AB92" s="463"/>
      <c r="AC92" s="463"/>
      <c r="AD92" s="464"/>
      <c r="AF92" s="50"/>
    </row>
    <row r="93" spans="1:32" ht="30.75" customHeight="1" thickBot="1">
      <c r="A93" s="465">
        <v>3</v>
      </c>
      <c r="B93" s="466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7"/>
      <c r="R93" s="467"/>
      <c r="S93" s="467"/>
      <c r="T93" s="467"/>
      <c r="U93" s="467"/>
      <c r="V93" s="468"/>
      <c r="W93" s="468"/>
      <c r="X93" s="468"/>
      <c r="Y93" s="469"/>
      <c r="Z93" s="469"/>
      <c r="AA93" s="469"/>
      <c r="AB93" s="469"/>
      <c r="AC93" s="469"/>
      <c r="AD93" s="470"/>
      <c r="AF93" s="50"/>
    </row>
  </sheetData>
  <mergeCells count="232"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1" fitToHeight="2" orientation="landscape" r:id="rId1"/>
  <rowBreaks count="1" manualBreakCount="1">
    <brk id="53" max="2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4DE5D-6292-4B99-9591-37AD556B7C2E}">
  <sheetPr>
    <pageSetUpPr fitToPage="1"/>
  </sheetPr>
  <dimension ref="A1:AF94"/>
  <sheetViews>
    <sheetView view="pageBreakPreview" zoomScale="70" zoomScaleNormal="72" zoomScaleSheetLayoutView="70" workbookViewId="0">
      <selection activeCell="K87" sqref="K87:S87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575" t="s">
        <v>321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576"/>
      <c r="B3" s="576"/>
      <c r="C3" s="576"/>
      <c r="D3" s="576"/>
      <c r="E3" s="576"/>
      <c r="F3" s="576"/>
      <c r="G3" s="5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577" t="s">
        <v>0</v>
      </c>
      <c r="B4" s="579" t="s">
        <v>1</v>
      </c>
      <c r="C4" s="579" t="s">
        <v>2</v>
      </c>
      <c r="D4" s="582" t="s">
        <v>3</v>
      </c>
      <c r="E4" s="584" t="s">
        <v>4</v>
      </c>
      <c r="F4" s="582" t="s">
        <v>5</v>
      </c>
      <c r="G4" s="579" t="s">
        <v>6</v>
      </c>
      <c r="H4" s="585" t="s">
        <v>7</v>
      </c>
      <c r="I4" s="565" t="s">
        <v>8</v>
      </c>
      <c r="J4" s="566"/>
      <c r="K4" s="566"/>
      <c r="L4" s="566"/>
      <c r="M4" s="566"/>
      <c r="N4" s="566"/>
      <c r="O4" s="567"/>
      <c r="P4" s="568" t="s">
        <v>9</v>
      </c>
      <c r="Q4" s="569"/>
      <c r="R4" s="570" t="s">
        <v>10</v>
      </c>
      <c r="S4" s="571"/>
      <c r="T4" s="571"/>
      <c r="U4" s="571"/>
      <c r="V4" s="572"/>
      <c r="W4" s="571" t="s">
        <v>11</v>
      </c>
      <c r="X4" s="571"/>
      <c r="Y4" s="571"/>
      <c r="Z4" s="571"/>
      <c r="AA4" s="572"/>
      <c r="AB4" s="573" t="s">
        <v>12</v>
      </c>
      <c r="AC4" s="547" t="s">
        <v>13</v>
      </c>
      <c r="AD4" s="547" t="s">
        <v>14</v>
      </c>
      <c r="AE4" s="54"/>
    </row>
    <row r="5" spans="1:32" ht="51" customHeight="1" thickBot="1">
      <c r="A5" s="578"/>
      <c r="B5" s="580"/>
      <c r="C5" s="581"/>
      <c r="D5" s="583"/>
      <c r="E5" s="583"/>
      <c r="F5" s="583"/>
      <c r="G5" s="580"/>
      <c r="H5" s="586"/>
      <c r="I5" s="55" t="s">
        <v>15</v>
      </c>
      <c r="J5" s="56" t="s">
        <v>16</v>
      </c>
      <c r="K5" s="231" t="s">
        <v>17</v>
      </c>
      <c r="L5" s="231" t="s">
        <v>18</v>
      </c>
      <c r="M5" s="231" t="s">
        <v>19</v>
      </c>
      <c r="N5" s="23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574"/>
      <c r="AC5" s="548"/>
      <c r="AD5" s="548"/>
      <c r="AE5" s="54"/>
    </row>
    <row r="6" spans="1:32" ht="27" customHeight="1">
      <c r="A6" s="112">
        <v>1</v>
      </c>
      <c r="B6" s="11" t="s">
        <v>57</v>
      </c>
      <c r="C6" s="34" t="s">
        <v>112</v>
      </c>
      <c r="D6" s="52" t="s">
        <v>127</v>
      </c>
      <c r="E6" s="53" t="s">
        <v>180</v>
      </c>
      <c r="F6" s="30" t="s">
        <v>141</v>
      </c>
      <c r="G6" s="12">
        <v>2</v>
      </c>
      <c r="H6" s="13">
        <v>24</v>
      </c>
      <c r="I6" s="31">
        <v>185000</v>
      </c>
      <c r="J6" s="14">
        <v>5200</v>
      </c>
      <c r="K6" s="15">
        <f>L6+5840+11504+11434+11462+11458+11584+10978+11678+11622+11070+11640+11234</f>
        <v>136704</v>
      </c>
      <c r="L6" s="15">
        <f>2600*2</f>
        <v>5200</v>
      </c>
      <c r="M6" s="15">
        <f t="shared" ref="M6:M28" si="0">L6-N6</f>
        <v>5200</v>
      </c>
      <c r="N6" s="15">
        <v>0</v>
      </c>
      <c r="O6" s="58">
        <f t="shared" ref="O6:O29" si="1">IF(L6=0,"0",N6/L6)</f>
        <v>0</v>
      </c>
      <c r="P6" s="39">
        <f t="shared" ref="P6:P28" si="2">IF(L6=0,"0",(24-Q6))</f>
        <v>14</v>
      </c>
      <c r="Q6" s="40">
        <f t="shared" ref="Q6:Q28" si="3">SUM(R6:AA6)</f>
        <v>10</v>
      </c>
      <c r="R6" s="7"/>
      <c r="S6" s="6">
        <v>10</v>
      </c>
      <c r="T6" s="16"/>
      <c r="U6" s="16"/>
      <c r="V6" s="17"/>
      <c r="W6" s="5"/>
      <c r="X6" s="16"/>
      <c r="Y6" s="16"/>
      <c r="Z6" s="16"/>
      <c r="AA6" s="18"/>
      <c r="AB6" s="8">
        <f t="shared" ref="AB6:AB28" si="4">IF(J6=0,"0",(L6/J6))</f>
        <v>1</v>
      </c>
      <c r="AC6" s="9">
        <f t="shared" ref="AC6:AC28" si="5">IF(P6=0,"0",(P6/24))</f>
        <v>0.58333333333333337</v>
      </c>
      <c r="AD6" s="10">
        <f t="shared" ref="AD6:AD28" si="6">AC6*AB6*(1-O6)</f>
        <v>0.58333333333333337</v>
      </c>
      <c r="AE6" s="36">
        <f t="shared" ref="AE6:AE28" si="7">$AD$29</f>
        <v>0.48550724637681147</v>
      </c>
      <c r="AF6" s="84">
        <f t="shared" ref="AF6:AF28" si="8">A6</f>
        <v>1</v>
      </c>
    </row>
    <row r="7" spans="1:32" ht="27" customHeight="1">
      <c r="A7" s="112">
        <v>2</v>
      </c>
      <c r="B7" s="11" t="s">
        <v>57</v>
      </c>
      <c r="C7" s="34" t="s">
        <v>138</v>
      </c>
      <c r="D7" s="52" t="s">
        <v>142</v>
      </c>
      <c r="E7" s="53" t="s">
        <v>241</v>
      </c>
      <c r="F7" s="30" t="s">
        <v>252</v>
      </c>
      <c r="G7" s="12">
        <v>2</v>
      </c>
      <c r="H7" s="13">
        <v>24</v>
      </c>
      <c r="I7" s="31">
        <v>190000</v>
      </c>
      <c r="J7" s="14">
        <v>4268</v>
      </c>
      <c r="K7" s="15">
        <f>L7+2217+10130+8365+2335</f>
        <v>27315</v>
      </c>
      <c r="L7" s="15">
        <f>2135+2133</f>
        <v>4268</v>
      </c>
      <c r="M7" s="15">
        <f t="shared" si="0"/>
        <v>4268</v>
      </c>
      <c r="N7" s="15">
        <v>0</v>
      </c>
      <c r="O7" s="58">
        <f t="shared" si="1"/>
        <v>0</v>
      </c>
      <c r="P7" s="39">
        <f t="shared" si="2"/>
        <v>21</v>
      </c>
      <c r="Q7" s="40">
        <f t="shared" si="3"/>
        <v>3</v>
      </c>
      <c r="R7" s="7"/>
      <c r="S7" s="6">
        <v>3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0.875</v>
      </c>
      <c r="AD7" s="10">
        <f t="shared" si="6"/>
        <v>0.875</v>
      </c>
      <c r="AE7" s="36">
        <f t="shared" si="7"/>
        <v>0.48550724637681147</v>
      </c>
      <c r="AF7" s="84">
        <f t="shared" si="8"/>
        <v>2</v>
      </c>
    </row>
    <row r="8" spans="1:32" ht="27" customHeight="1">
      <c r="A8" s="112">
        <v>3</v>
      </c>
      <c r="B8" s="11" t="s">
        <v>57</v>
      </c>
      <c r="C8" s="34" t="s">
        <v>138</v>
      </c>
      <c r="D8" s="52" t="s">
        <v>115</v>
      </c>
      <c r="E8" s="53" t="s">
        <v>253</v>
      </c>
      <c r="F8" s="30" t="s">
        <v>139</v>
      </c>
      <c r="G8" s="12">
        <v>2</v>
      </c>
      <c r="H8" s="13">
        <v>24</v>
      </c>
      <c r="I8" s="7">
        <v>160000</v>
      </c>
      <c r="J8" s="14">
        <v>11854</v>
      </c>
      <c r="K8" s="15">
        <f>L8+8132+2262+5886+10522</f>
        <v>38656</v>
      </c>
      <c r="L8" s="15">
        <f>2947*2+2980*2</f>
        <v>11854</v>
      </c>
      <c r="M8" s="15">
        <f t="shared" si="0"/>
        <v>11854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0.48550724637681147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34" t="s">
        <v>138</v>
      </c>
      <c r="D9" s="52" t="s">
        <v>123</v>
      </c>
      <c r="E9" s="53" t="s">
        <v>305</v>
      </c>
      <c r="F9" s="30" t="s">
        <v>139</v>
      </c>
      <c r="G9" s="12">
        <v>2</v>
      </c>
      <c r="H9" s="13">
        <v>24</v>
      </c>
      <c r="I9" s="7">
        <v>160000</v>
      </c>
      <c r="J9" s="14">
        <v>10280</v>
      </c>
      <c r="K9" s="15">
        <f>L9</f>
        <v>10280</v>
      </c>
      <c r="L9" s="15">
        <f>2406*2+2734*2</f>
        <v>10280</v>
      </c>
      <c r="M9" s="15">
        <f t="shared" si="0"/>
        <v>10280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0.48550724637681147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11" t="s">
        <v>163</v>
      </c>
      <c r="D10" s="52"/>
      <c r="E10" s="53" t="s">
        <v>204</v>
      </c>
      <c r="F10" s="30" t="s">
        <v>205</v>
      </c>
      <c r="G10" s="33">
        <v>2</v>
      </c>
      <c r="H10" s="35">
        <v>24</v>
      </c>
      <c r="I10" s="7">
        <v>100000</v>
      </c>
      <c r="J10" s="14">
        <v>10206</v>
      </c>
      <c r="K10" s="15">
        <f>L10</f>
        <v>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6"/>
        <v>0</v>
      </c>
      <c r="AE10" s="36">
        <f t="shared" si="7"/>
        <v>0.48550724637681147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11" t="s">
        <v>138</v>
      </c>
      <c r="D11" s="52"/>
      <c r="E11" s="53" t="s">
        <v>304</v>
      </c>
      <c r="F11" s="30" t="s">
        <v>128</v>
      </c>
      <c r="G11" s="33">
        <v>1</v>
      </c>
      <c r="H11" s="35">
        <v>24</v>
      </c>
      <c r="I11" s="7">
        <v>2000</v>
      </c>
      <c r="J11" s="14">
        <v>1826</v>
      </c>
      <c r="K11" s="15">
        <f>L11</f>
        <v>1826</v>
      </c>
      <c r="L11" s="15">
        <v>1826</v>
      </c>
      <c r="M11" s="15">
        <f t="shared" si="0"/>
        <v>1826</v>
      </c>
      <c r="N11" s="15">
        <v>0</v>
      </c>
      <c r="O11" s="58">
        <f t="shared" si="1"/>
        <v>0</v>
      </c>
      <c r="P11" s="39">
        <f t="shared" si="2"/>
        <v>9</v>
      </c>
      <c r="Q11" s="40">
        <f t="shared" si="3"/>
        <v>15</v>
      </c>
      <c r="R11" s="7"/>
      <c r="S11" s="6">
        <v>15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0.375</v>
      </c>
      <c r="AD11" s="10">
        <f t="shared" si="6"/>
        <v>0.375</v>
      </c>
      <c r="AE11" s="36">
        <f t="shared" si="7"/>
        <v>0.48550724637681147</v>
      </c>
      <c r="AF11" s="84">
        <f t="shared" si="8"/>
        <v>6</v>
      </c>
    </row>
    <row r="12" spans="1:32" ht="27" customHeight="1">
      <c r="A12" s="96">
        <v>6</v>
      </c>
      <c r="B12" s="11" t="s">
        <v>57</v>
      </c>
      <c r="C12" s="11" t="s">
        <v>112</v>
      </c>
      <c r="D12" s="52" t="s">
        <v>322</v>
      </c>
      <c r="E12" s="53" t="s">
        <v>323</v>
      </c>
      <c r="F12" s="30" t="s">
        <v>324</v>
      </c>
      <c r="G12" s="33">
        <v>1</v>
      </c>
      <c r="H12" s="35">
        <v>24</v>
      </c>
      <c r="I12" s="7">
        <v>6000</v>
      </c>
      <c r="J12" s="14">
        <v>1189</v>
      </c>
      <c r="K12" s="15">
        <f>L12</f>
        <v>1189</v>
      </c>
      <c r="L12" s="15">
        <v>1189</v>
      </c>
      <c r="M12" s="15">
        <f t="shared" ref="M12" si="9">L12-N12</f>
        <v>1189</v>
      </c>
      <c r="N12" s="15">
        <v>0</v>
      </c>
      <c r="O12" s="58">
        <f t="shared" ref="O12" si="10">IF(L12=0,"0",N12/L12)</f>
        <v>0</v>
      </c>
      <c r="P12" s="39">
        <f t="shared" ref="P12" si="11">IF(L12=0,"0",(24-Q12))</f>
        <v>7</v>
      </c>
      <c r="Q12" s="40">
        <f t="shared" ref="Q12" si="12">SUM(R12:AA12)</f>
        <v>17</v>
      </c>
      <c r="R12" s="7">
        <v>7</v>
      </c>
      <c r="S12" s="6"/>
      <c r="T12" s="16">
        <v>10</v>
      </c>
      <c r="U12" s="16"/>
      <c r="V12" s="17"/>
      <c r="W12" s="5"/>
      <c r="X12" s="16"/>
      <c r="Y12" s="16"/>
      <c r="Z12" s="16"/>
      <c r="AA12" s="18"/>
      <c r="AB12" s="8">
        <f t="shared" ref="AB12" si="13">IF(J12=0,"0",(L12/J12))</f>
        <v>1</v>
      </c>
      <c r="AC12" s="9">
        <f t="shared" ref="AC12" si="14">IF(P12=0,"0",(P12/24))</f>
        <v>0.29166666666666669</v>
      </c>
      <c r="AD12" s="10">
        <f t="shared" ref="AD12" si="15">AC12*AB12*(1-O12)</f>
        <v>0.29166666666666669</v>
      </c>
      <c r="AE12" s="36">
        <f t="shared" si="7"/>
        <v>0.48550724637681147</v>
      </c>
      <c r="AF12" s="84">
        <f t="shared" ref="AF12" si="16">A12</f>
        <v>6</v>
      </c>
    </row>
    <row r="13" spans="1:32" ht="27" customHeight="1">
      <c r="A13" s="96">
        <v>7</v>
      </c>
      <c r="B13" s="11" t="s">
        <v>57</v>
      </c>
      <c r="C13" s="34" t="s">
        <v>116</v>
      </c>
      <c r="D13" s="52" t="s">
        <v>115</v>
      </c>
      <c r="E13" s="53" t="s">
        <v>286</v>
      </c>
      <c r="F13" s="30" t="s">
        <v>206</v>
      </c>
      <c r="G13" s="12">
        <v>1</v>
      </c>
      <c r="H13" s="13">
        <v>22</v>
      </c>
      <c r="I13" s="31">
        <v>7600</v>
      </c>
      <c r="J13" s="5">
        <v>5172</v>
      </c>
      <c r="K13" s="15">
        <f>L13+4872</f>
        <v>10044</v>
      </c>
      <c r="L13" s="15">
        <f>2599+2573</f>
        <v>5172</v>
      </c>
      <c r="M13" s="15">
        <f t="shared" si="0"/>
        <v>5172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6"/>
        <v>1</v>
      </c>
      <c r="AE13" s="36">
        <f t="shared" si="7"/>
        <v>0.48550724637681147</v>
      </c>
      <c r="AF13" s="84">
        <f t="shared" si="8"/>
        <v>7</v>
      </c>
    </row>
    <row r="14" spans="1:32" ht="27" customHeight="1">
      <c r="A14" s="96">
        <v>8</v>
      </c>
      <c r="B14" s="11" t="s">
        <v>57</v>
      </c>
      <c r="C14" s="11" t="s">
        <v>112</v>
      </c>
      <c r="D14" s="52" t="s">
        <v>123</v>
      </c>
      <c r="E14" s="53" t="s">
        <v>179</v>
      </c>
      <c r="F14" s="30" t="s">
        <v>128</v>
      </c>
      <c r="G14" s="33">
        <v>2</v>
      </c>
      <c r="H14" s="35">
        <v>35</v>
      </c>
      <c r="I14" s="7">
        <v>190000</v>
      </c>
      <c r="J14" s="14">
        <v>12660</v>
      </c>
      <c r="K14" s="15">
        <f>L14+6644+12322+12086</f>
        <v>43712</v>
      </c>
      <c r="L14" s="15">
        <f>3148*2+3182*2</f>
        <v>12660</v>
      </c>
      <c r="M14" s="15">
        <f t="shared" si="0"/>
        <v>12660</v>
      </c>
      <c r="N14" s="15">
        <v>0</v>
      </c>
      <c r="O14" s="58">
        <f t="shared" si="1"/>
        <v>0</v>
      </c>
      <c r="P14" s="39">
        <f t="shared" si="2"/>
        <v>24</v>
      </c>
      <c r="Q14" s="40">
        <f t="shared" si="3"/>
        <v>0</v>
      </c>
      <c r="R14" s="7"/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1</v>
      </c>
      <c r="AD14" s="10">
        <f t="shared" si="6"/>
        <v>1</v>
      </c>
      <c r="AE14" s="36">
        <f t="shared" si="7"/>
        <v>0.48550724637681147</v>
      </c>
      <c r="AF14" s="84">
        <f t="shared" si="8"/>
        <v>8</v>
      </c>
    </row>
    <row r="15" spans="1:32" ht="27" customHeight="1">
      <c r="A15" s="105">
        <v>9</v>
      </c>
      <c r="B15" s="11" t="s">
        <v>57</v>
      </c>
      <c r="C15" s="34" t="s">
        <v>112</v>
      </c>
      <c r="D15" s="52" t="s">
        <v>115</v>
      </c>
      <c r="E15" s="53" t="s">
        <v>181</v>
      </c>
      <c r="F15" s="30" t="s">
        <v>171</v>
      </c>
      <c r="G15" s="33">
        <v>1</v>
      </c>
      <c r="H15" s="35">
        <v>50</v>
      </c>
      <c r="I15" s="7">
        <v>500</v>
      </c>
      <c r="J15" s="5">
        <v>608</v>
      </c>
      <c r="K15" s="15">
        <f>L15+290+608</f>
        <v>898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0.48550724637681147</v>
      </c>
      <c r="AF15" s="84">
        <f t="shared" si="8"/>
        <v>9</v>
      </c>
    </row>
    <row r="16" spans="1:32" ht="27" customHeight="1">
      <c r="A16" s="95">
        <v>10</v>
      </c>
      <c r="B16" s="11" t="s">
        <v>57</v>
      </c>
      <c r="C16" s="34" t="s">
        <v>116</v>
      </c>
      <c r="D16" s="52" t="s">
        <v>122</v>
      </c>
      <c r="E16" s="53" t="s">
        <v>136</v>
      </c>
      <c r="F16" s="30" t="s">
        <v>131</v>
      </c>
      <c r="G16" s="12">
        <v>4</v>
      </c>
      <c r="H16" s="13">
        <v>24</v>
      </c>
      <c r="I16" s="31">
        <v>12000</v>
      </c>
      <c r="J16" s="14">
        <v>12356</v>
      </c>
      <c r="K16" s="15">
        <f>L16+12356</f>
        <v>12356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0.48550724637681147</v>
      </c>
      <c r="AF16" s="84">
        <f t="shared" si="8"/>
        <v>10</v>
      </c>
    </row>
    <row r="17" spans="1:32" ht="27" customHeight="1">
      <c r="A17" s="112">
        <v>11</v>
      </c>
      <c r="B17" s="11" t="s">
        <v>57</v>
      </c>
      <c r="C17" s="34" t="s">
        <v>112</v>
      </c>
      <c r="D17" s="52" t="s">
        <v>115</v>
      </c>
      <c r="E17" s="53" t="s">
        <v>308</v>
      </c>
      <c r="F17" s="30" t="s">
        <v>171</v>
      </c>
      <c r="G17" s="12">
        <v>1</v>
      </c>
      <c r="H17" s="13">
        <v>24</v>
      </c>
      <c r="I17" s="7">
        <v>3000</v>
      </c>
      <c r="J17" s="14">
        <v>4010</v>
      </c>
      <c r="K17" s="15">
        <f>L17</f>
        <v>4010</v>
      </c>
      <c r="L17" s="15">
        <f>1481+2529</f>
        <v>4010</v>
      </c>
      <c r="M17" s="15">
        <f t="shared" si="0"/>
        <v>4010</v>
      </c>
      <c r="N17" s="15">
        <v>0</v>
      </c>
      <c r="O17" s="58">
        <f t="shared" si="1"/>
        <v>0</v>
      </c>
      <c r="P17" s="39">
        <f t="shared" si="2"/>
        <v>20</v>
      </c>
      <c r="Q17" s="40">
        <f t="shared" si="3"/>
        <v>4</v>
      </c>
      <c r="R17" s="7"/>
      <c r="S17" s="6"/>
      <c r="T17" s="16"/>
      <c r="U17" s="16"/>
      <c r="V17" s="17"/>
      <c r="W17" s="5"/>
      <c r="X17" s="16"/>
      <c r="Y17" s="16"/>
      <c r="Z17" s="16"/>
      <c r="AA17" s="18">
        <v>4</v>
      </c>
      <c r="AB17" s="8">
        <f t="shared" si="4"/>
        <v>1</v>
      </c>
      <c r="AC17" s="9">
        <f t="shared" si="5"/>
        <v>0.83333333333333337</v>
      </c>
      <c r="AD17" s="10">
        <f t="shared" si="6"/>
        <v>0.83333333333333337</v>
      </c>
      <c r="AE17" s="36">
        <f t="shared" si="7"/>
        <v>0.48550724637681147</v>
      </c>
      <c r="AF17" s="84">
        <f t="shared" si="8"/>
        <v>11</v>
      </c>
    </row>
    <row r="18" spans="1:32" ht="27" customHeight="1">
      <c r="A18" s="95">
        <v>12</v>
      </c>
      <c r="B18" s="11" t="s">
        <v>57</v>
      </c>
      <c r="C18" s="34" t="s">
        <v>296</v>
      </c>
      <c r="D18" s="52"/>
      <c r="E18" s="53" t="s">
        <v>297</v>
      </c>
      <c r="F18" s="30" t="s">
        <v>298</v>
      </c>
      <c r="G18" s="12">
        <v>4</v>
      </c>
      <c r="H18" s="13">
        <v>24</v>
      </c>
      <c r="I18" s="7">
        <v>40000</v>
      </c>
      <c r="J18" s="14">
        <v>24516</v>
      </c>
      <c r="K18" s="15">
        <f>L18+16652</f>
        <v>41168</v>
      </c>
      <c r="L18" s="15">
        <f>3069*4+3060*4</f>
        <v>24516</v>
      </c>
      <c r="M18" s="15">
        <f t="shared" si="0"/>
        <v>24516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6"/>
        <v>1</v>
      </c>
      <c r="AE18" s="36">
        <f t="shared" si="7"/>
        <v>0.48550724637681147</v>
      </c>
      <c r="AF18" s="84">
        <f t="shared" si="8"/>
        <v>12</v>
      </c>
    </row>
    <row r="19" spans="1:32" ht="27" customHeight="1">
      <c r="A19" s="96">
        <v>13</v>
      </c>
      <c r="B19" s="11" t="s">
        <v>57</v>
      </c>
      <c r="C19" s="11" t="s">
        <v>112</v>
      </c>
      <c r="D19" s="52" t="s">
        <v>137</v>
      </c>
      <c r="E19" s="53" t="s">
        <v>191</v>
      </c>
      <c r="F19" s="30" t="s">
        <v>130</v>
      </c>
      <c r="G19" s="33">
        <v>1</v>
      </c>
      <c r="H19" s="35">
        <v>24</v>
      </c>
      <c r="I19" s="7">
        <v>180000</v>
      </c>
      <c r="J19" s="14">
        <v>11590</v>
      </c>
      <c r="K19" s="15">
        <f>L19+9952+11100+11616+11336+11468+11654+10384+11002</f>
        <v>100102</v>
      </c>
      <c r="L19" s="15">
        <f>2888*2+2907*2</f>
        <v>11590</v>
      </c>
      <c r="M19" s="15">
        <f t="shared" si="0"/>
        <v>11590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6"/>
        <v>1</v>
      </c>
      <c r="AE19" s="36">
        <f t="shared" si="7"/>
        <v>0.48550724637681147</v>
      </c>
      <c r="AF19" s="84">
        <f t="shared" si="8"/>
        <v>13</v>
      </c>
    </row>
    <row r="20" spans="1:32" ht="27" customHeight="1">
      <c r="A20" s="96">
        <v>14</v>
      </c>
      <c r="B20" s="11" t="s">
        <v>57</v>
      </c>
      <c r="C20" s="11" t="s">
        <v>112</v>
      </c>
      <c r="D20" s="52" t="s">
        <v>115</v>
      </c>
      <c r="E20" s="53" t="s">
        <v>213</v>
      </c>
      <c r="F20" s="30" t="s">
        <v>222</v>
      </c>
      <c r="G20" s="33">
        <v>1</v>
      </c>
      <c r="H20" s="35">
        <v>24</v>
      </c>
      <c r="I20" s="7">
        <v>700</v>
      </c>
      <c r="J20" s="14">
        <v>1131</v>
      </c>
      <c r="K20" s="15">
        <f>L20</f>
        <v>1131</v>
      </c>
      <c r="L20" s="15">
        <f>408+723</f>
        <v>1131</v>
      </c>
      <c r="M20" s="15">
        <f t="shared" si="0"/>
        <v>1131</v>
      </c>
      <c r="N20" s="15">
        <v>0</v>
      </c>
      <c r="O20" s="58">
        <f t="shared" si="1"/>
        <v>0</v>
      </c>
      <c r="P20" s="39">
        <f t="shared" si="2"/>
        <v>16</v>
      </c>
      <c r="Q20" s="40">
        <f t="shared" si="3"/>
        <v>8</v>
      </c>
      <c r="R20" s="7"/>
      <c r="S20" s="6">
        <v>8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0.66666666666666663</v>
      </c>
      <c r="AD20" s="10">
        <f t="shared" si="6"/>
        <v>0.66666666666666663</v>
      </c>
      <c r="AE20" s="36">
        <f t="shared" si="7"/>
        <v>0.48550724637681147</v>
      </c>
      <c r="AF20" s="84">
        <f t="shared" si="8"/>
        <v>14</v>
      </c>
    </row>
    <row r="21" spans="1:32" ht="27" customHeight="1">
      <c r="A21" s="112">
        <v>15</v>
      </c>
      <c r="B21" s="11" t="s">
        <v>57</v>
      </c>
      <c r="C21" s="34" t="s">
        <v>112</v>
      </c>
      <c r="D21" s="52" t="s">
        <v>115</v>
      </c>
      <c r="E21" s="53" t="s">
        <v>178</v>
      </c>
      <c r="F21" s="30" t="s">
        <v>206</v>
      </c>
      <c r="G21" s="12">
        <v>2</v>
      </c>
      <c r="H21" s="13">
        <v>24</v>
      </c>
      <c r="I21" s="7">
        <v>230000</v>
      </c>
      <c r="J21" s="14">
        <v>10692</v>
      </c>
      <c r="K21" s="15">
        <f>L21+7008+11154+9077+8768+10676+10588+2521+7242+10236+10216+10614+10620+10632+10760+10206+10136</f>
        <v>161146</v>
      </c>
      <c r="L21" s="15">
        <f>2672*2+2674*2</f>
        <v>10692</v>
      </c>
      <c r="M21" s="15">
        <f t="shared" si="0"/>
        <v>10692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0.48550724637681147</v>
      </c>
      <c r="AF21" s="84">
        <f t="shared" si="8"/>
        <v>15</v>
      </c>
    </row>
    <row r="22" spans="1:32" ht="18.75">
      <c r="A22" s="96">
        <v>16</v>
      </c>
      <c r="B22" s="11" t="s">
        <v>57</v>
      </c>
      <c r="C22" s="11" t="s">
        <v>113</v>
      </c>
      <c r="D22" s="52"/>
      <c r="E22" s="53" t="s">
        <v>325</v>
      </c>
      <c r="F22" s="12" t="s">
        <v>114</v>
      </c>
      <c r="G22" s="12">
        <v>3</v>
      </c>
      <c r="H22" s="35">
        <v>20</v>
      </c>
      <c r="I22" s="7">
        <v>200000</v>
      </c>
      <c r="J22" s="14">
        <v>25797</v>
      </c>
      <c r="K22" s="15">
        <f>L22</f>
        <v>25797</v>
      </c>
      <c r="L22" s="15">
        <f>8599*3</f>
        <v>25797</v>
      </c>
      <c r="M22" s="15">
        <f t="shared" si="0"/>
        <v>25797</v>
      </c>
      <c r="N22" s="15">
        <v>0</v>
      </c>
      <c r="O22" s="58">
        <f t="shared" si="1"/>
        <v>0</v>
      </c>
      <c r="P22" s="39">
        <f t="shared" si="2"/>
        <v>13</v>
      </c>
      <c r="Q22" s="40">
        <f t="shared" si="3"/>
        <v>11</v>
      </c>
      <c r="R22" s="7"/>
      <c r="S22" s="6">
        <v>11</v>
      </c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0.54166666666666663</v>
      </c>
      <c r="AD22" s="10">
        <f t="shared" si="6"/>
        <v>0.54166666666666663</v>
      </c>
      <c r="AE22" s="36">
        <f t="shared" si="7"/>
        <v>0.48550724637681147</v>
      </c>
      <c r="AF22" s="84">
        <f t="shared" si="8"/>
        <v>16</v>
      </c>
    </row>
    <row r="23" spans="1:32" ht="18.75">
      <c r="A23" s="96">
        <v>31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>
        <v>24</v>
      </c>
      <c r="W23" s="5"/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6"/>
        <v>0</v>
      </c>
      <c r="AE23" s="36">
        <f t="shared" si="7"/>
        <v>0.48550724637681147</v>
      </c>
      <c r="AF23" s="84">
        <f t="shared" si="8"/>
        <v>31</v>
      </c>
    </row>
    <row r="24" spans="1:32" ht="18.75">
      <c r="A24" s="96">
        <v>32</v>
      </c>
      <c r="B24" s="11" t="s">
        <v>57</v>
      </c>
      <c r="C24" s="11"/>
      <c r="D24" s="52"/>
      <c r="E24" s="53"/>
      <c r="F24" s="12"/>
      <c r="G24" s="12"/>
      <c r="H24" s="35">
        <v>20</v>
      </c>
      <c r="I24" s="7"/>
      <c r="J24" s="14">
        <v>0</v>
      </c>
      <c r="K24" s="15">
        <f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>
        <v>24</v>
      </c>
      <c r="W24" s="5"/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6"/>
        <v>0</v>
      </c>
      <c r="AE24" s="36">
        <f t="shared" si="7"/>
        <v>0.48550724637681147</v>
      </c>
      <c r="AF24" s="84">
        <f t="shared" si="8"/>
        <v>32</v>
      </c>
    </row>
    <row r="25" spans="1:32" ht="18.75">
      <c r="A25" s="96">
        <v>33</v>
      </c>
      <c r="B25" s="11" t="s">
        <v>57</v>
      </c>
      <c r="C25" s="11" t="s">
        <v>116</v>
      </c>
      <c r="D25" s="52" t="s">
        <v>142</v>
      </c>
      <c r="E25" s="53" t="s">
        <v>146</v>
      </c>
      <c r="F25" s="12" t="s">
        <v>140</v>
      </c>
      <c r="G25" s="12">
        <v>1</v>
      </c>
      <c r="H25" s="35">
        <v>20</v>
      </c>
      <c r="I25" s="7">
        <v>140000</v>
      </c>
      <c r="J25" s="14">
        <v>3244</v>
      </c>
      <c r="K25" s="15">
        <f>L25+4387+7770+5806+7905+7479+7369+7360+2397+6904+7208+7013+6976+6992+2652+6495+7026+7051+7084+4297+6519+7042+3244</f>
        <v>136976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20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6"/>
        <v>0</v>
      </c>
      <c r="AE25" s="36">
        <f t="shared" si="7"/>
        <v>0.48550724637681147</v>
      </c>
      <c r="AF25" s="84">
        <f t="shared" si="8"/>
        <v>33</v>
      </c>
    </row>
    <row r="26" spans="1:32" ht="28.5">
      <c r="A26" s="96">
        <v>34</v>
      </c>
      <c r="B26" s="11" t="s">
        <v>57</v>
      </c>
      <c r="C26" s="11" t="s">
        <v>116</v>
      </c>
      <c r="D26" s="52" t="s">
        <v>142</v>
      </c>
      <c r="E26" s="53" t="s">
        <v>147</v>
      </c>
      <c r="F26" s="12" t="s">
        <v>131</v>
      </c>
      <c r="G26" s="12">
        <v>4</v>
      </c>
      <c r="H26" s="35">
        <v>20</v>
      </c>
      <c r="I26" s="7">
        <v>240000</v>
      </c>
      <c r="J26" s="14">
        <v>9988</v>
      </c>
      <c r="K26" s="15">
        <f>L26+24768+29084+29040+29804+27780+4064+26996+28972+25428+29132+9988</f>
        <v>265056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20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6"/>
        <v>0</v>
      </c>
      <c r="AE26" s="36">
        <f t="shared" si="7"/>
        <v>0.48550724637681147</v>
      </c>
      <c r="AF26" s="84">
        <f t="shared" si="8"/>
        <v>34</v>
      </c>
    </row>
    <row r="27" spans="1:32" ht="28.5">
      <c r="A27" s="96">
        <v>35</v>
      </c>
      <c r="B27" s="11" t="s">
        <v>57</v>
      </c>
      <c r="C27" s="11" t="s">
        <v>116</v>
      </c>
      <c r="D27" s="52" t="s">
        <v>122</v>
      </c>
      <c r="E27" s="53" t="s">
        <v>133</v>
      </c>
      <c r="F27" s="12" t="s">
        <v>131</v>
      </c>
      <c r="G27" s="12">
        <v>4</v>
      </c>
      <c r="H27" s="35">
        <v>20</v>
      </c>
      <c r="I27" s="7">
        <v>240000</v>
      </c>
      <c r="J27" s="14">
        <v>11600</v>
      </c>
      <c r="K27" s="15">
        <f>L27+25004+29968+31848+29672+31736+27000+29200+29420+29140+11600</f>
        <v>274588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20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6"/>
        <v>0</v>
      </c>
      <c r="AE27" s="36">
        <f t="shared" si="7"/>
        <v>0.48550724637681147</v>
      </c>
      <c r="AF27" s="84">
        <f t="shared" si="8"/>
        <v>35</v>
      </c>
    </row>
    <row r="28" spans="1:32" ht="19.5" thickBot="1">
      <c r="A28" s="96">
        <v>36</v>
      </c>
      <c r="B28" s="11" t="s">
        <v>57</v>
      </c>
      <c r="C28" s="11" t="s">
        <v>173</v>
      </c>
      <c r="D28" s="52"/>
      <c r="E28" s="53" t="s">
        <v>174</v>
      </c>
      <c r="F28" s="12" t="s">
        <v>175</v>
      </c>
      <c r="G28" s="12">
        <v>32</v>
      </c>
      <c r="H28" s="35">
        <v>20</v>
      </c>
      <c r="I28" s="7">
        <v>700000</v>
      </c>
      <c r="J28" s="14">
        <v>89792</v>
      </c>
      <c r="K28" s="15">
        <f>L28+326528+448864+89792</f>
        <v>865184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20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6"/>
        <v>0</v>
      </c>
      <c r="AE28" s="36">
        <f t="shared" si="7"/>
        <v>0.48550724637681147</v>
      </c>
      <c r="AF28" s="84">
        <f t="shared" si="8"/>
        <v>36</v>
      </c>
    </row>
    <row r="29" spans="1:32" ht="19.5" thickBot="1">
      <c r="A29" s="549" t="s">
        <v>34</v>
      </c>
      <c r="B29" s="550"/>
      <c r="C29" s="550"/>
      <c r="D29" s="550"/>
      <c r="E29" s="550"/>
      <c r="F29" s="550"/>
      <c r="G29" s="550"/>
      <c r="H29" s="551"/>
      <c r="I29" s="22">
        <f t="shared" ref="I29:N29" si="17">SUM(I6:I28)</f>
        <v>2986800</v>
      </c>
      <c r="J29" s="19">
        <f t="shared" si="17"/>
        <v>267979</v>
      </c>
      <c r="K29" s="20">
        <f t="shared" si="17"/>
        <v>2158138</v>
      </c>
      <c r="L29" s="21">
        <f t="shared" si="17"/>
        <v>130185</v>
      </c>
      <c r="M29" s="20">
        <f t="shared" si="17"/>
        <v>130185</v>
      </c>
      <c r="N29" s="21">
        <f t="shared" si="17"/>
        <v>0</v>
      </c>
      <c r="O29" s="41">
        <f t="shared" si="1"/>
        <v>0</v>
      </c>
      <c r="P29" s="42">
        <f t="shared" ref="P29:AA29" si="18">SUM(P6:P28)</f>
        <v>268</v>
      </c>
      <c r="Q29" s="43">
        <f t="shared" si="18"/>
        <v>284</v>
      </c>
      <c r="R29" s="23">
        <f t="shared" si="18"/>
        <v>7</v>
      </c>
      <c r="S29" s="24">
        <f t="shared" si="18"/>
        <v>71</v>
      </c>
      <c r="T29" s="24">
        <f t="shared" si="18"/>
        <v>10</v>
      </c>
      <c r="U29" s="24">
        <f t="shared" si="18"/>
        <v>0</v>
      </c>
      <c r="V29" s="25">
        <f t="shared" si="18"/>
        <v>48</v>
      </c>
      <c r="W29" s="26">
        <f t="shared" si="18"/>
        <v>144</v>
      </c>
      <c r="X29" s="27">
        <f t="shared" si="18"/>
        <v>0</v>
      </c>
      <c r="Y29" s="27">
        <f t="shared" si="18"/>
        <v>0</v>
      </c>
      <c r="Z29" s="27">
        <f t="shared" si="18"/>
        <v>0</v>
      </c>
      <c r="AA29" s="27">
        <f t="shared" si="18"/>
        <v>4</v>
      </c>
      <c r="AB29" s="28">
        <f>AVERAGE(AB6:AB28)</f>
        <v>0.66666666666666663</v>
      </c>
      <c r="AC29" s="4">
        <f>AVERAGE(AC6:AC28)</f>
        <v>0.48550724637681147</v>
      </c>
      <c r="AD29" s="4">
        <f>AVERAGE(AD6:AD28)</f>
        <v>0.48550724637681147</v>
      </c>
      <c r="AE29" s="29"/>
    </row>
    <row r="30" spans="1:32">
      <c r="T30" s="50" t="s">
        <v>143</v>
      </c>
    </row>
    <row r="31" spans="1:32" ht="18.75">
      <c r="A31" s="2"/>
      <c r="B31" s="2" t="s">
        <v>35</v>
      </c>
      <c r="C31" s="2"/>
      <c r="D31" s="2"/>
      <c r="E31" s="2"/>
      <c r="F31" s="2"/>
      <c r="G31" s="2"/>
      <c r="H31" s="3"/>
      <c r="I31" s="3"/>
      <c r="J31" s="2"/>
      <c r="K31" s="2"/>
      <c r="L31" s="2"/>
      <c r="M31" s="2"/>
      <c r="N31" s="2" t="s">
        <v>36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1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 t="s">
        <v>144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85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27">
      <c r="A46" s="59"/>
      <c r="B46" s="59"/>
      <c r="C46" s="59"/>
      <c r="D46" s="59"/>
      <c r="E46" s="59"/>
      <c r="F46" s="37"/>
      <c r="G46" s="37"/>
      <c r="H46" s="38"/>
      <c r="I46" s="38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F46" s="50"/>
    </row>
    <row r="47" spans="1:32" ht="29.25" customHeight="1">
      <c r="A47" s="60"/>
      <c r="B47" s="60"/>
      <c r="C47" s="61"/>
      <c r="D47" s="61"/>
      <c r="E47" s="61"/>
      <c r="F47" s="60"/>
      <c r="G47" s="60"/>
      <c r="H47" s="60"/>
      <c r="I47" s="60"/>
      <c r="J47" s="60"/>
      <c r="K47" s="60"/>
      <c r="L47" s="60"/>
      <c r="M47" s="61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4.2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36" thickBot="1">
      <c r="A56" s="552" t="s">
        <v>45</v>
      </c>
      <c r="B56" s="552"/>
      <c r="C56" s="552"/>
      <c r="D56" s="552"/>
      <c r="E56" s="552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26.25" thickBot="1">
      <c r="A57" s="553" t="s">
        <v>326</v>
      </c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5"/>
      <c r="N57" s="556" t="s">
        <v>330</v>
      </c>
      <c r="O57" s="557"/>
      <c r="P57" s="557"/>
      <c r="Q57" s="557"/>
      <c r="R57" s="557"/>
      <c r="S57" s="557"/>
      <c r="T57" s="557"/>
      <c r="U57" s="557"/>
      <c r="V57" s="557"/>
      <c r="W57" s="557"/>
      <c r="X57" s="557"/>
      <c r="Y57" s="557"/>
      <c r="Z57" s="557"/>
      <c r="AA57" s="557"/>
      <c r="AB57" s="557"/>
      <c r="AC57" s="557"/>
      <c r="AD57" s="558"/>
    </row>
    <row r="58" spans="1:32" ht="27" customHeight="1">
      <c r="A58" s="559" t="s">
        <v>2</v>
      </c>
      <c r="B58" s="560"/>
      <c r="C58" s="230" t="s">
        <v>46</v>
      </c>
      <c r="D58" s="230" t="s">
        <v>47</v>
      </c>
      <c r="E58" s="230" t="s">
        <v>107</v>
      </c>
      <c r="F58" s="561" t="s">
        <v>106</v>
      </c>
      <c r="G58" s="562"/>
      <c r="H58" s="562"/>
      <c r="I58" s="562"/>
      <c r="J58" s="562"/>
      <c r="K58" s="562"/>
      <c r="L58" s="562"/>
      <c r="M58" s="563"/>
      <c r="N58" s="67" t="s">
        <v>110</v>
      </c>
      <c r="O58" s="230" t="s">
        <v>46</v>
      </c>
      <c r="P58" s="561" t="s">
        <v>47</v>
      </c>
      <c r="Q58" s="564"/>
      <c r="R58" s="561" t="s">
        <v>38</v>
      </c>
      <c r="S58" s="562"/>
      <c r="T58" s="562"/>
      <c r="U58" s="564"/>
      <c r="V58" s="561" t="s">
        <v>48</v>
      </c>
      <c r="W58" s="562"/>
      <c r="X58" s="562"/>
      <c r="Y58" s="562"/>
      <c r="Z58" s="562"/>
      <c r="AA58" s="562"/>
      <c r="AB58" s="562"/>
      <c r="AC58" s="562"/>
      <c r="AD58" s="563"/>
    </row>
    <row r="59" spans="1:32" ht="27" customHeight="1">
      <c r="A59" s="543" t="s">
        <v>138</v>
      </c>
      <c r="B59" s="533"/>
      <c r="C59" s="226" t="s">
        <v>217</v>
      </c>
      <c r="D59" s="226" t="s">
        <v>142</v>
      </c>
      <c r="E59" s="226" t="s">
        <v>241</v>
      </c>
      <c r="F59" s="530" t="s">
        <v>172</v>
      </c>
      <c r="G59" s="531"/>
      <c r="H59" s="531"/>
      <c r="I59" s="531"/>
      <c r="J59" s="531"/>
      <c r="K59" s="531"/>
      <c r="L59" s="531"/>
      <c r="M59" s="532"/>
      <c r="N59" s="229" t="s">
        <v>112</v>
      </c>
      <c r="O59" s="223" t="s">
        <v>201</v>
      </c>
      <c r="P59" s="544" t="s">
        <v>322</v>
      </c>
      <c r="Q59" s="545"/>
      <c r="R59" s="544" t="s">
        <v>323</v>
      </c>
      <c r="S59" s="546"/>
      <c r="T59" s="546"/>
      <c r="U59" s="545"/>
      <c r="V59" s="517" t="s">
        <v>120</v>
      </c>
      <c r="W59" s="517"/>
      <c r="X59" s="517"/>
      <c r="Y59" s="517"/>
      <c r="Z59" s="517"/>
      <c r="AA59" s="517"/>
      <c r="AB59" s="517"/>
      <c r="AC59" s="517"/>
      <c r="AD59" s="534"/>
    </row>
    <row r="60" spans="1:32" ht="27" customHeight="1">
      <c r="A60" s="543" t="s">
        <v>138</v>
      </c>
      <c r="B60" s="533"/>
      <c r="C60" s="226" t="s">
        <v>200</v>
      </c>
      <c r="D60" s="226" t="s">
        <v>135</v>
      </c>
      <c r="E60" s="226" t="s">
        <v>305</v>
      </c>
      <c r="F60" s="530" t="s">
        <v>124</v>
      </c>
      <c r="G60" s="531"/>
      <c r="H60" s="531"/>
      <c r="I60" s="531"/>
      <c r="J60" s="531"/>
      <c r="K60" s="531"/>
      <c r="L60" s="531"/>
      <c r="M60" s="532"/>
      <c r="N60" s="229" t="s">
        <v>138</v>
      </c>
      <c r="O60" s="223" t="s">
        <v>217</v>
      </c>
      <c r="P60" s="544" t="s">
        <v>142</v>
      </c>
      <c r="Q60" s="545"/>
      <c r="R60" s="544" t="s">
        <v>241</v>
      </c>
      <c r="S60" s="546"/>
      <c r="T60" s="546"/>
      <c r="U60" s="545"/>
      <c r="V60" s="517" t="s">
        <v>120</v>
      </c>
      <c r="W60" s="517"/>
      <c r="X60" s="517"/>
      <c r="Y60" s="517"/>
      <c r="Z60" s="517"/>
      <c r="AA60" s="517"/>
      <c r="AB60" s="517"/>
      <c r="AC60" s="517"/>
      <c r="AD60" s="534"/>
    </row>
    <row r="61" spans="1:32" ht="27" customHeight="1">
      <c r="A61" s="543" t="s">
        <v>138</v>
      </c>
      <c r="B61" s="533"/>
      <c r="C61" s="226" t="s">
        <v>201</v>
      </c>
      <c r="D61" s="226"/>
      <c r="E61" s="226" t="s">
        <v>304</v>
      </c>
      <c r="F61" s="530" t="s">
        <v>124</v>
      </c>
      <c r="G61" s="531"/>
      <c r="H61" s="531"/>
      <c r="I61" s="531"/>
      <c r="J61" s="531"/>
      <c r="K61" s="531"/>
      <c r="L61" s="531"/>
      <c r="M61" s="532"/>
      <c r="N61" s="229" t="s">
        <v>138</v>
      </c>
      <c r="O61" s="223" t="s">
        <v>210</v>
      </c>
      <c r="P61" s="544" t="s">
        <v>265</v>
      </c>
      <c r="Q61" s="545"/>
      <c r="R61" s="544" t="s">
        <v>331</v>
      </c>
      <c r="S61" s="546"/>
      <c r="T61" s="546"/>
      <c r="U61" s="545"/>
      <c r="V61" s="517" t="s">
        <v>120</v>
      </c>
      <c r="W61" s="517"/>
      <c r="X61" s="517"/>
      <c r="Y61" s="517"/>
      <c r="Z61" s="517"/>
      <c r="AA61" s="517"/>
      <c r="AB61" s="517"/>
      <c r="AC61" s="517"/>
      <c r="AD61" s="534"/>
    </row>
    <row r="62" spans="1:32" ht="27" customHeight="1">
      <c r="A62" s="543" t="s">
        <v>112</v>
      </c>
      <c r="B62" s="533"/>
      <c r="C62" s="226" t="s">
        <v>201</v>
      </c>
      <c r="D62" s="226" t="s">
        <v>322</v>
      </c>
      <c r="E62" s="226" t="s">
        <v>323</v>
      </c>
      <c r="F62" s="530" t="s">
        <v>327</v>
      </c>
      <c r="G62" s="531"/>
      <c r="H62" s="531"/>
      <c r="I62" s="531"/>
      <c r="J62" s="531"/>
      <c r="K62" s="531"/>
      <c r="L62" s="531"/>
      <c r="M62" s="532"/>
      <c r="N62" s="229" t="s">
        <v>112</v>
      </c>
      <c r="O62" s="223" t="s">
        <v>161</v>
      </c>
      <c r="P62" s="544" t="s">
        <v>122</v>
      </c>
      <c r="Q62" s="545"/>
      <c r="R62" s="544" t="s">
        <v>332</v>
      </c>
      <c r="S62" s="546"/>
      <c r="T62" s="546"/>
      <c r="U62" s="545"/>
      <c r="V62" s="517" t="s">
        <v>124</v>
      </c>
      <c r="W62" s="517"/>
      <c r="X62" s="517"/>
      <c r="Y62" s="517"/>
      <c r="Z62" s="517"/>
      <c r="AA62" s="517"/>
      <c r="AB62" s="517"/>
      <c r="AC62" s="517"/>
      <c r="AD62" s="534"/>
    </row>
    <row r="63" spans="1:32" ht="27" customHeight="1">
      <c r="A63" s="543" t="s">
        <v>112</v>
      </c>
      <c r="B63" s="533"/>
      <c r="C63" s="226" t="s">
        <v>307</v>
      </c>
      <c r="D63" s="226" t="s">
        <v>127</v>
      </c>
      <c r="E63" s="226" t="s">
        <v>180</v>
      </c>
      <c r="F63" s="530" t="s">
        <v>328</v>
      </c>
      <c r="G63" s="531"/>
      <c r="H63" s="531"/>
      <c r="I63" s="531"/>
      <c r="J63" s="531"/>
      <c r="K63" s="531"/>
      <c r="L63" s="531"/>
      <c r="M63" s="532"/>
      <c r="N63" s="229"/>
      <c r="O63" s="223"/>
      <c r="P63" s="544"/>
      <c r="Q63" s="545"/>
      <c r="R63" s="544"/>
      <c r="S63" s="546"/>
      <c r="T63" s="546"/>
      <c r="U63" s="545"/>
      <c r="V63" s="517"/>
      <c r="W63" s="517"/>
      <c r="X63" s="517"/>
      <c r="Y63" s="517"/>
      <c r="Z63" s="517"/>
      <c r="AA63" s="517"/>
      <c r="AB63" s="517"/>
      <c r="AC63" s="517"/>
      <c r="AD63" s="534"/>
    </row>
    <row r="64" spans="1:32" ht="27" customHeight="1">
      <c r="A64" s="543" t="s">
        <v>112</v>
      </c>
      <c r="B64" s="533"/>
      <c r="C64" s="226" t="s">
        <v>210</v>
      </c>
      <c r="D64" s="226" t="s">
        <v>115</v>
      </c>
      <c r="E64" s="226" t="s">
        <v>308</v>
      </c>
      <c r="F64" s="530" t="s">
        <v>124</v>
      </c>
      <c r="G64" s="531"/>
      <c r="H64" s="531"/>
      <c r="I64" s="531"/>
      <c r="J64" s="531"/>
      <c r="K64" s="531"/>
      <c r="L64" s="531"/>
      <c r="M64" s="532"/>
      <c r="N64" s="229"/>
      <c r="O64" s="223"/>
      <c r="P64" s="544"/>
      <c r="Q64" s="545"/>
      <c r="R64" s="544"/>
      <c r="S64" s="546"/>
      <c r="T64" s="546"/>
      <c r="U64" s="545"/>
      <c r="V64" s="517"/>
      <c r="W64" s="517"/>
      <c r="X64" s="517"/>
      <c r="Y64" s="517"/>
      <c r="Z64" s="517"/>
      <c r="AA64" s="517"/>
      <c r="AB64" s="517"/>
      <c r="AC64" s="517"/>
      <c r="AD64" s="534"/>
    </row>
    <row r="65" spans="1:32" ht="27" customHeight="1">
      <c r="A65" s="543" t="s">
        <v>112</v>
      </c>
      <c r="B65" s="533"/>
      <c r="C65" s="226" t="s">
        <v>161</v>
      </c>
      <c r="D65" s="226" t="s">
        <v>115</v>
      </c>
      <c r="E65" s="226" t="s">
        <v>213</v>
      </c>
      <c r="F65" s="530" t="s">
        <v>329</v>
      </c>
      <c r="G65" s="531"/>
      <c r="H65" s="531"/>
      <c r="I65" s="531"/>
      <c r="J65" s="531"/>
      <c r="K65" s="531"/>
      <c r="L65" s="531"/>
      <c r="M65" s="532"/>
      <c r="N65" s="229"/>
      <c r="O65" s="223"/>
      <c r="P65" s="544"/>
      <c r="Q65" s="545"/>
      <c r="R65" s="544"/>
      <c r="S65" s="546"/>
      <c r="T65" s="546"/>
      <c r="U65" s="545"/>
      <c r="V65" s="517"/>
      <c r="W65" s="517"/>
      <c r="X65" s="517"/>
      <c r="Y65" s="517"/>
      <c r="Z65" s="517"/>
      <c r="AA65" s="517"/>
      <c r="AB65" s="517"/>
      <c r="AC65" s="517"/>
      <c r="AD65" s="534"/>
    </row>
    <row r="66" spans="1:32" ht="27" customHeight="1">
      <c r="A66" s="528" t="s">
        <v>113</v>
      </c>
      <c r="B66" s="529"/>
      <c r="C66" s="225" t="s">
        <v>289</v>
      </c>
      <c r="D66" s="225"/>
      <c r="E66" s="226" t="s">
        <v>306</v>
      </c>
      <c r="F66" s="530" t="s">
        <v>124</v>
      </c>
      <c r="G66" s="531"/>
      <c r="H66" s="531"/>
      <c r="I66" s="531"/>
      <c r="J66" s="531"/>
      <c r="K66" s="531"/>
      <c r="L66" s="531"/>
      <c r="M66" s="532"/>
      <c r="N66" s="229"/>
      <c r="O66" s="223"/>
      <c r="P66" s="544"/>
      <c r="Q66" s="545"/>
      <c r="R66" s="544"/>
      <c r="S66" s="546"/>
      <c r="T66" s="546"/>
      <c r="U66" s="545"/>
      <c r="V66" s="517"/>
      <c r="W66" s="517"/>
      <c r="X66" s="517"/>
      <c r="Y66" s="517"/>
      <c r="Z66" s="517"/>
      <c r="AA66" s="517"/>
      <c r="AB66" s="517"/>
      <c r="AC66" s="517"/>
      <c r="AD66" s="534"/>
    </row>
    <row r="67" spans="1:32" ht="27" customHeight="1">
      <c r="A67" s="528"/>
      <c r="B67" s="529"/>
      <c r="C67" s="225"/>
      <c r="D67" s="225"/>
      <c r="E67" s="226"/>
      <c r="F67" s="530"/>
      <c r="G67" s="531"/>
      <c r="H67" s="531"/>
      <c r="I67" s="531"/>
      <c r="J67" s="531"/>
      <c r="K67" s="531"/>
      <c r="L67" s="531"/>
      <c r="M67" s="532"/>
      <c r="N67" s="229"/>
      <c r="O67" s="223"/>
      <c r="P67" s="533"/>
      <c r="Q67" s="533"/>
      <c r="R67" s="533"/>
      <c r="S67" s="533"/>
      <c r="T67" s="533"/>
      <c r="U67" s="533"/>
      <c r="V67" s="517"/>
      <c r="W67" s="517"/>
      <c r="X67" s="517"/>
      <c r="Y67" s="517"/>
      <c r="Z67" s="517"/>
      <c r="AA67" s="517"/>
      <c r="AB67" s="517"/>
      <c r="AC67" s="517"/>
      <c r="AD67" s="534"/>
      <c r="AF67" s="84">
        <f>8*3000</f>
        <v>24000</v>
      </c>
    </row>
    <row r="68" spans="1:32" ht="27" customHeight="1" thickBot="1">
      <c r="A68" s="535"/>
      <c r="B68" s="536"/>
      <c r="C68" s="227"/>
      <c r="D68" s="228"/>
      <c r="E68" s="227"/>
      <c r="F68" s="537"/>
      <c r="G68" s="538"/>
      <c r="H68" s="538"/>
      <c r="I68" s="538"/>
      <c r="J68" s="538"/>
      <c r="K68" s="538"/>
      <c r="L68" s="538"/>
      <c r="M68" s="539"/>
      <c r="N68" s="111"/>
      <c r="O68" s="103"/>
      <c r="P68" s="540"/>
      <c r="Q68" s="540"/>
      <c r="R68" s="540"/>
      <c r="S68" s="540"/>
      <c r="T68" s="540"/>
      <c r="U68" s="540"/>
      <c r="V68" s="541"/>
      <c r="W68" s="541"/>
      <c r="X68" s="541"/>
      <c r="Y68" s="541"/>
      <c r="Z68" s="541"/>
      <c r="AA68" s="541"/>
      <c r="AB68" s="541"/>
      <c r="AC68" s="541"/>
      <c r="AD68" s="542"/>
      <c r="AF68" s="84">
        <f>16*3000</f>
        <v>48000</v>
      </c>
    </row>
    <row r="69" spans="1:32" ht="27.75" thickBot="1">
      <c r="A69" s="526" t="s">
        <v>333</v>
      </c>
      <c r="B69" s="526"/>
      <c r="C69" s="526"/>
      <c r="D69" s="526"/>
      <c r="E69" s="526"/>
      <c r="F69" s="37"/>
      <c r="G69" s="37"/>
      <c r="H69" s="38"/>
      <c r="I69" s="38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F69" s="84">
        <v>24000</v>
      </c>
    </row>
    <row r="70" spans="1:32" ht="29.25" customHeight="1" thickBot="1">
      <c r="A70" s="527" t="s">
        <v>111</v>
      </c>
      <c r="B70" s="524"/>
      <c r="C70" s="224" t="s">
        <v>2</v>
      </c>
      <c r="D70" s="224" t="s">
        <v>37</v>
      </c>
      <c r="E70" s="224" t="s">
        <v>3</v>
      </c>
      <c r="F70" s="524" t="s">
        <v>109</v>
      </c>
      <c r="G70" s="524"/>
      <c r="H70" s="524"/>
      <c r="I70" s="524"/>
      <c r="J70" s="524"/>
      <c r="K70" s="524" t="s">
        <v>39</v>
      </c>
      <c r="L70" s="524"/>
      <c r="M70" s="224" t="s">
        <v>40</v>
      </c>
      <c r="N70" s="524" t="s">
        <v>41</v>
      </c>
      <c r="O70" s="524"/>
      <c r="P70" s="521" t="s">
        <v>42</v>
      </c>
      <c r="Q70" s="523"/>
      <c r="R70" s="521" t="s">
        <v>43</v>
      </c>
      <c r="S70" s="522"/>
      <c r="T70" s="522"/>
      <c r="U70" s="522"/>
      <c r="V70" s="522"/>
      <c r="W70" s="522"/>
      <c r="X70" s="522"/>
      <c r="Y70" s="522"/>
      <c r="Z70" s="522"/>
      <c r="AA70" s="523"/>
      <c r="AB70" s="524" t="s">
        <v>44</v>
      </c>
      <c r="AC70" s="524"/>
      <c r="AD70" s="525"/>
      <c r="AF70" s="84">
        <f>SUM(AF67:AF69)</f>
        <v>96000</v>
      </c>
    </row>
    <row r="71" spans="1:32" ht="25.5" customHeight="1">
      <c r="A71" s="512">
        <v>1</v>
      </c>
      <c r="B71" s="513"/>
      <c r="C71" s="104" t="s">
        <v>112</v>
      </c>
      <c r="D71" s="219"/>
      <c r="E71" s="222" t="s">
        <v>127</v>
      </c>
      <c r="F71" s="518" t="s">
        <v>180</v>
      </c>
      <c r="G71" s="519"/>
      <c r="H71" s="519"/>
      <c r="I71" s="519"/>
      <c r="J71" s="520"/>
      <c r="K71" s="504" t="s">
        <v>141</v>
      </c>
      <c r="L71" s="504"/>
      <c r="M71" s="51" t="s">
        <v>334</v>
      </c>
      <c r="N71" s="515" t="s">
        <v>307</v>
      </c>
      <c r="O71" s="515"/>
      <c r="P71" s="516">
        <v>100</v>
      </c>
      <c r="Q71" s="516"/>
      <c r="R71" s="517" t="s">
        <v>335</v>
      </c>
      <c r="S71" s="517"/>
      <c r="T71" s="517"/>
      <c r="U71" s="517"/>
      <c r="V71" s="517"/>
      <c r="W71" s="517"/>
      <c r="X71" s="517"/>
      <c r="Y71" s="517"/>
      <c r="Z71" s="517"/>
      <c r="AA71" s="517"/>
      <c r="AB71" s="504"/>
      <c r="AC71" s="504"/>
      <c r="AD71" s="505"/>
      <c r="AF71" s="50"/>
    </row>
    <row r="72" spans="1:32" ht="25.5" customHeight="1">
      <c r="A72" s="512">
        <v>2</v>
      </c>
      <c r="B72" s="513"/>
      <c r="C72" s="104" t="s">
        <v>112</v>
      </c>
      <c r="D72" s="219"/>
      <c r="E72" s="222" t="s">
        <v>115</v>
      </c>
      <c r="F72" s="518" t="s">
        <v>248</v>
      </c>
      <c r="G72" s="519"/>
      <c r="H72" s="519"/>
      <c r="I72" s="519"/>
      <c r="J72" s="520"/>
      <c r="K72" s="504" t="s">
        <v>233</v>
      </c>
      <c r="L72" s="504"/>
      <c r="M72" s="51" t="s">
        <v>334</v>
      </c>
      <c r="N72" s="515" t="s">
        <v>210</v>
      </c>
      <c r="O72" s="515"/>
      <c r="P72" s="516">
        <v>50</v>
      </c>
      <c r="Q72" s="516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04"/>
      <c r="AC72" s="504"/>
      <c r="AD72" s="505"/>
      <c r="AF72" s="50"/>
    </row>
    <row r="73" spans="1:32" ht="25.5" customHeight="1">
      <c r="A73" s="512">
        <v>3</v>
      </c>
      <c r="B73" s="513"/>
      <c r="C73" s="104"/>
      <c r="D73" s="219"/>
      <c r="E73" s="222"/>
      <c r="F73" s="518"/>
      <c r="G73" s="519"/>
      <c r="H73" s="519"/>
      <c r="I73" s="519"/>
      <c r="J73" s="520"/>
      <c r="K73" s="504"/>
      <c r="L73" s="504"/>
      <c r="M73" s="51"/>
      <c r="N73" s="515"/>
      <c r="O73" s="515"/>
      <c r="P73" s="516"/>
      <c r="Q73" s="516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04"/>
      <c r="AC73" s="504"/>
      <c r="AD73" s="505"/>
      <c r="AF73" s="50"/>
    </row>
    <row r="74" spans="1:32" ht="25.5" customHeight="1">
      <c r="A74" s="512">
        <v>4</v>
      </c>
      <c r="B74" s="513"/>
      <c r="C74" s="104"/>
      <c r="D74" s="219"/>
      <c r="E74" s="222"/>
      <c r="F74" s="518"/>
      <c r="G74" s="519"/>
      <c r="H74" s="519"/>
      <c r="I74" s="519"/>
      <c r="J74" s="520"/>
      <c r="K74" s="504"/>
      <c r="L74" s="504"/>
      <c r="M74" s="51"/>
      <c r="N74" s="515"/>
      <c r="O74" s="515"/>
      <c r="P74" s="516"/>
      <c r="Q74" s="516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04"/>
      <c r="AC74" s="504"/>
      <c r="AD74" s="505"/>
      <c r="AF74" s="50"/>
    </row>
    <row r="75" spans="1:32" ht="25.5" customHeight="1">
      <c r="A75" s="512">
        <v>5</v>
      </c>
      <c r="B75" s="513"/>
      <c r="C75" s="104"/>
      <c r="D75" s="219"/>
      <c r="E75" s="222"/>
      <c r="F75" s="518"/>
      <c r="G75" s="519"/>
      <c r="H75" s="519"/>
      <c r="I75" s="519"/>
      <c r="J75" s="520"/>
      <c r="K75" s="504"/>
      <c r="L75" s="504"/>
      <c r="M75" s="51"/>
      <c r="N75" s="515"/>
      <c r="O75" s="515"/>
      <c r="P75" s="516"/>
      <c r="Q75" s="516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04"/>
      <c r="AC75" s="504"/>
      <c r="AD75" s="505"/>
      <c r="AF75" s="50"/>
    </row>
    <row r="76" spans="1:32" ht="25.5" customHeight="1">
      <c r="A76" s="512">
        <v>6</v>
      </c>
      <c r="B76" s="513"/>
      <c r="C76" s="104"/>
      <c r="D76" s="219"/>
      <c r="E76" s="222"/>
      <c r="F76" s="518"/>
      <c r="G76" s="519"/>
      <c r="H76" s="519"/>
      <c r="I76" s="519"/>
      <c r="J76" s="520"/>
      <c r="K76" s="504"/>
      <c r="L76" s="504"/>
      <c r="M76" s="51"/>
      <c r="N76" s="515"/>
      <c r="O76" s="515"/>
      <c r="P76" s="516"/>
      <c r="Q76" s="516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04"/>
      <c r="AC76" s="504"/>
      <c r="AD76" s="505"/>
      <c r="AF76" s="50"/>
    </row>
    <row r="77" spans="1:32" ht="25.5" customHeight="1">
      <c r="A77" s="512">
        <v>7</v>
      </c>
      <c r="B77" s="513"/>
      <c r="C77" s="104"/>
      <c r="D77" s="219"/>
      <c r="E77" s="222"/>
      <c r="F77" s="518"/>
      <c r="G77" s="519"/>
      <c r="H77" s="519"/>
      <c r="I77" s="519"/>
      <c r="J77" s="520"/>
      <c r="K77" s="504"/>
      <c r="L77" s="504"/>
      <c r="M77" s="51"/>
      <c r="N77" s="515"/>
      <c r="O77" s="515"/>
      <c r="P77" s="516"/>
      <c r="Q77" s="516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04"/>
      <c r="AC77" s="504"/>
      <c r="AD77" s="505"/>
      <c r="AF77" s="50"/>
    </row>
    <row r="78" spans="1:32" ht="25.5" customHeight="1">
      <c r="A78" s="512">
        <v>8</v>
      </c>
      <c r="B78" s="513"/>
      <c r="C78" s="104"/>
      <c r="D78" s="219"/>
      <c r="E78" s="222"/>
      <c r="F78" s="514"/>
      <c r="G78" s="504"/>
      <c r="H78" s="504"/>
      <c r="I78" s="504"/>
      <c r="J78" s="504"/>
      <c r="K78" s="504"/>
      <c r="L78" s="504"/>
      <c r="M78" s="51"/>
      <c r="N78" s="515"/>
      <c r="O78" s="515"/>
      <c r="P78" s="516"/>
      <c r="Q78" s="516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04"/>
      <c r="AC78" s="504"/>
      <c r="AD78" s="505"/>
      <c r="AF78" s="50"/>
    </row>
    <row r="79" spans="1:32" ht="25.5" customHeight="1">
      <c r="A79" s="512">
        <v>9</v>
      </c>
      <c r="B79" s="513"/>
      <c r="C79" s="104"/>
      <c r="D79" s="219"/>
      <c r="E79" s="222"/>
      <c r="F79" s="514"/>
      <c r="G79" s="504"/>
      <c r="H79" s="504"/>
      <c r="I79" s="504"/>
      <c r="J79" s="504"/>
      <c r="K79" s="504"/>
      <c r="L79" s="504"/>
      <c r="M79" s="51"/>
      <c r="N79" s="515"/>
      <c r="O79" s="515"/>
      <c r="P79" s="516"/>
      <c r="Q79" s="516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04"/>
      <c r="AC79" s="504"/>
      <c r="AD79" s="505"/>
      <c r="AF79" s="50"/>
    </row>
    <row r="80" spans="1:32" ht="25.5" customHeight="1">
      <c r="A80" s="512">
        <v>10</v>
      </c>
      <c r="B80" s="513"/>
      <c r="C80" s="104"/>
      <c r="D80" s="219"/>
      <c r="E80" s="222"/>
      <c r="F80" s="514"/>
      <c r="G80" s="504"/>
      <c r="H80" s="504"/>
      <c r="I80" s="504"/>
      <c r="J80" s="504"/>
      <c r="K80" s="504"/>
      <c r="L80" s="504"/>
      <c r="M80" s="51"/>
      <c r="N80" s="515"/>
      <c r="O80" s="515"/>
      <c r="P80" s="516"/>
      <c r="Q80" s="516"/>
      <c r="R80" s="517"/>
      <c r="S80" s="517"/>
      <c r="T80" s="517"/>
      <c r="U80" s="517"/>
      <c r="V80" s="517"/>
      <c r="W80" s="517"/>
      <c r="X80" s="517"/>
      <c r="Y80" s="517"/>
      <c r="Z80" s="517"/>
      <c r="AA80" s="517"/>
      <c r="AB80" s="504"/>
      <c r="AC80" s="504"/>
      <c r="AD80" s="505"/>
      <c r="AF80" s="50"/>
    </row>
    <row r="81" spans="1:32" ht="26.25" customHeight="1" thickBot="1">
      <c r="A81" s="484" t="s">
        <v>336</v>
      </c>
      <c r="B81" s="484"/>
      <c r="C81" s="484"/>
      <c r="D81" s="484"/>
      <c r="E81" s="484"/>
      <c r="F81" s="37"/>
      <c r="G81" s="37"/>
      <c r="H81" s="38"/>
      <c r="I81" s="38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F81" s="50"/>
    </row>
    <row r="82" spans="1:32" ht="23.25" thickBot="1">
      <c r="A82" s="506" t="s">
        <v>111</v>
      </c>
      <c r="B82" s="507"/>
      <c r="C82" s="221" t="s">
        <v>2</v>
      </c>
      <c r="D82" s="221" t="s">
        <v>37</v>
      </c>
      <c r="E82" s="221" t="s">
        <v>121</v>
      </c>
      <c r="F82" s="486" t="s">
        <v>38</v>
      </c>
      <c r="G82" s="486"/>
      <c r="H82" s="486"/>
      <c r="I82" s="486"/>
      <c r="J82" s="486"/>
      <c r="K82" s="508" t="s">
        <v>58</v>
      </c>
      <c r="L82" s="509"/>
      <c r="M82" s="509"/>
      <c r="N82" s="509"/>
      <c r="O82" s="509"/>
      <c r="P82" s="509"/>
      <c r="Q82" s="509"/>
      <c r="R82" s="509"/>
      <c r="S82" s="510"/>
      <c r="T82" s="486" t="s">
        <v>49</v>
      </c>
      <c r="U82" s="486"/>
      <c r="V82" s="508" t="s">
        <v>50</v>
      </c>
      <c r="W82" s="510"/>
      <c r="X82" s="509" t="s">
        <v>51</v>
      </c>
      <c r="Y82" s="509"/>
      <c r="Z82" s="509"/>
      <c r="AA82" s="509"/>
      <c r="AB82" s="509"/>
      <c r="AC82" s="509"/>
      <c r="AD82" s="511"/>
      <c r="AF82" s="50"/>
    </row>
    <row r="83" spans="1:32" ht="33.75" customHeight="1">
      <c r="A83" s="478">
        <v>1</v>
      </c>
      <c r="B83" s="479"/>
      <c r="C83" s="220"/>
      <c r="D83" s="220"/>
      <c r="E83" s="65"/>
      <c r="F83" s="493"/>
      <c r="G83" s="494"/>
      <c r="H83" s="494"/>
      <c r="I83" s="494"/>
      <c r="J83" s="495"/>
      <c r="K83" s="496"/>
      <c r="L83" s="497"/>
      <c r="M83" s="497"/>
      <c r="N83" s="497"/>
      <c r="O83" s="497"/>
      <c r="P83" s="497"/>
      <c r="Q83" s="497"/>
      <c r="R83" s="497"/>
      <c r="S83" s="498"/>
      <c r="T83" s="499"/>
      <c r="U83" s="500"/>
      <c r="V83" s="501"/>
      <c r="W83" s="501"/>
      <c r="X83" s="502"/>
      <c r="Y83" s="502"/>
      <c r="Z83" s="502"/>
      <c r="AA83" s="502"/>
      <c r="AB83" s="502"/>
      <c r="AC83" s="502"/>
      <c r="AD83" s="503"/>
      <c r="AF83" s="50"/>
    </row>
    <row r="84" spans="1:32" ht="30" customHeight="1">
      <c r="A84" s="471">
        <f>A83+1</f>
        <v>2</v>
      </c>
      <c r="B84" s="472"/>
      <c r="C84" s="219"/>
      <c r="D84" s="219"/>
      <c r="E84" s="32"/>
      <c r="F84" s="472"/>
      <c r="G84" s="472"/>
      <c r="H84" s="472"/>
      <c r="I84" s="472"/>
      <c r="J84" s="472"/>
      <c r="K84" s="487"/>
      <c r="L84" s="488"/>
      <c r="M84" s="488"/>
      <c r="N84" s="488"/>
      <c r="O84" s="488"/>
      <c r="P84" s="488"/>
      <c r="Q84" s="488"/>
      <c r="R84" s="488"/>
      <c r="S84" s="489"/>
      <c r="T84" s="490"/>
      <c r="U84" s="490"/>
      <c r="V84" s="490"/>
      <c r="W84" s="490"/>
      <c r="X84" s="491"/>
      <c r="Y84" s="491"/>
      <c r="Z84" s="491"/>
      <c r="AA84" s="491"/>
      <c r="AB84" s="491"/>
      <c r="AC84" s="491"/>
      <c r="AD84" s="492"/>
      <c r="AF84" s="50"/>
    </row>
    <row r="85" spans="1:32" ht="30" customHeight="1">
      <c r="A85" s="471">
        <f t="shared" ref="A85:A89" si="19">A84+1</f>
        <v>3</v>
      </c>
      <c r="B85" s="472"/>
      <c r="C85" s="219"/>
      <c r="D85" s="219"/>
      <c r="E85" s="32"/>
      <c r="F85" s="472"/>
      <c r="G85" s="472"/>
      <c r="H85" s="472"/>
      <c r="I85" s="472"/>
      <c r="J85" s="472"/>
      <c r="K85" s="487"/>
      <c r="L85" s="488"/>
      <c r="M85" s="488"/>
      <c r="N85" s="488"/>
      <c r="O85" s="488"/>
      <c r="P85" s="488"/>
      <c r="Q85" s="488"/>
      <c r="R85" s="488"/>
      <c r="S85" s="489"/>
      <c r="T85" s="490"/>
      <c r="U85" s="490"/>
      <c r="V85" s="490"/>
      <c r="W85" s="490"/>
      <c r="X85" s="491"/>
      <c r="Y85" s="491"/>
      <c r="Z85" s="491"/>
      <c r="AA85" s="491"/>
      <c r="AB85" s="491"/>
      <c r="AC85" s="491"/>
      <c r="AD85" s="492"/>
      <c r="AF85" s="50"/>
    </row>
    <row r="86" spans="1:32" ht="30" customHeight="1">
      <c r="A86" s="471">
        <f t="shared" si="19"/>
        <v>4</v>
      </c>
      <c r="B86" s="472"/>
      <c r="C86" s="219"/>
      <c r="D86" s="219"/>
      <c r="E86" s="32"/>
      <c r="F86" s="472"/>
      <c r="G86" s="472"/>
      <c r="H86" s="472"/>
      <c r="I86" s="472"/>
      <c r="J86" s="472"/>
      <c r="K86" s="487"/>
      <c r="L86" s="488"/>
      <c r="M86" s="488"/>
      <c r="N86" s="488"/>
      <c r="O86" s="488"/>
      <c r="P86" s="488"/>
      <c r="Q86" s="488"/>
      <c r="R86" s="488"/>
      <c r="S86" s="489"/>
      <c r="T86" s="490"/>
      <c r="U86" s="490"/>
      <c r="V86" s="490"/>
      <c r="W86" s="490"/>
      <c r="X86" s="491"/>
      <c r="Y86" s="491"/>
      <c r="Z86" s="491"/>
      <c r="AA86" s="491"/>
      <c r="AB86" s="491"/>
      <c r="AC86" s="491"/>
      <c r="AD86" s="492"/>
      <c r="AF86" s="50"/>
    </row>
    <row r="87" spans="1:32" ht="30" customHeight="1">
      <c r="A87" s="471">
        <f t="shared" si="19"/>
        <v>5</v>
      </c>
      <c r="B87" s="472"/>
      <c r="C87" s="219"/>
      <c r="D87" s="219"/>
      <c r="E87" s="32"/>
      <c r="F87" s="472"/>
      <c r="G87" s="472"/>
      <c r="H87" s="472"/>
      <c r="I87" s="472"/>
      <c r="J87" s="472"/>
      <c r="K87" s="487"/>
      <c r="L87" s="488"/>
      <c r="M87" s="488"/>
      <c r="N87" s="488"/>
      <c r="O87" s="488"/>
      <c r="P87" s="488"/>
      <c r="Q87" s="488"/>
      <c r="R87" s="488"/>
      <c r="S87" s="489"/>
      <c r="T87" s="490"/>
      <c r="U87" s="490"/>
      <c r="V87" s="490"/>
      <c r="W87" s="490"/>
      <c r="X87" s="491"/>
      <c r="Y87" s="491"/>
      <c r="Z87" s="491"/>
      <c r="AA87" s="491"/>
      <c r="AB87" s="491"/>
      <c r="AC87" s="491"/>
      <c r="AD87" s="492"/>
      <c r="AF87" s="50"/>
    </row>
    <row r="88" spans="1:32" ht="30" customHeight="1">
      <c r="A88" s="471">
        <f t="shared" si="19"/>
        <v>6</v>
      </c>
      <c r="B88" s="472"/>
      <c r="C88" s="219"/>
      <c r="D88" s="219"/>
      <c r="E88" s="32"/>
      <c r="F88" s="472"/>
      <c r="G88" s="472"/>
      <c r="H88" s="472"/>
      <c r="I88" s="472"/>
      <c r="J88" s="472"/>
      <c r="K88" s="487"/>
      <c r="L88" s="488"/>
      <c r="M88" s="488"/>
      <c r="N88" s="488"/>
      <c r="O88" s="488"/>
      <c r="P88" s="488"/>
      <c r="Q88" s="488"/>
      <c r="R88" s="488"/>
      <c r="S88" s="489"/>
      <c r="T88" s="490"/>
      <c r="U88" s="490"/>
      <c r="V88" s="490"/>
      <c r="W88" s="490"/>
      <c r="X88" s="491"/>
      <c r="Y88" s="491"/>
      <c r="Z88" s="491"/>
      <c r="AA88" s="491"/>
      <c r="AB88" s="491"/>
      <c r="AC88" s="491"/>
      <c r="AD88" s="492"/>
      <c r="AF88" s="50"/>
    </row>
    <row r="89" spans="1:32" ht="30" customHeight="1">
      <c r="A89" s="471">
        <f t="shared" si="19"/>
        <v>7</v>
      </c>
      <c r="B89" s="472"/>
      <c r="C89" s="219"/>
      <c r="D89" s="219"/>
      <c r="E89" s="32"/>
      <c r="F89" s="472"/>
      <c r="G89" s="472"/>
      <c r="H89" s="472"/>
      <c r="I89" s="472"/>
      <c r="J89" s="472"/>
      <c r="K89" s="487"/>
      <c r="L89" s="488"/>
      <c r="M89" s="488"/>
      <c r="N89" s="488"/>
      <c r="O89" s="488"/>
      <c r="P89" s="488"/>
      <c r="Q89" s="488"/>
      <c r="R89" s="488"/>
      <c r="S89" s="489"/>
      <c r="T89" s="490"/>
      <c r="U89" s="490"/>
      <c r="V89" s="490"/>
      <c r="W89" s="490"/>
      <c r="X89" s="491"/>
      <c r="Y89" s="491"/>
      <c r="Z89" s="491"/>
      <c r="AA89" s="491"/>
      <c r="AB89" s="491"/>
      <c r="AC89" s="491"/>
      <c r="AD89" s="492"/>
      <c r="AF89" s="50"/>
    </row>
    <row r="90" spans="1:32" ht="36" thickBot="1">
      <c r="A90" s="484" t="s">
        <v>337</v>
      </c>
      <c r="B90" s="484"/>
      <c r="C90" s="484"/>
      <c r="D90" s="484"/>
      <c r="E90" s="484"/>
      <c r="F90" s="37"/>
      <c r="G90" s="37"/>
      <c r="H90" s="38"/>
      <c r="I90" s="38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F90" s="50"/>
    </row>
    <row r="91" spans="1:32" ht="30.75" customHeight="1" thickBot="1">
      <c r="A91" s="485" t="s">
        <v>111</v>
      </c>
      <c r="B91" s="486"/>
      <c r="C91" s="476" t="s">
        <v>52</v>
      </c>
      <c r="D91" s="476"/>
      <c r="E91" s="476" t="s">
        <v>53</v>
      </c>
      <c r="F91" s="476"/>
      <c r="G91" s="476"/>
      <c r="H91" s="476"/>
      <c r="I91" s="476"/>
      <c r="J91" s="476"/>
      <c r="K91" s="476" t="s">
        <v>54</v>
      </c>
      <c r="L91" s="476"/>
      <c r="M91" s="476"/>
      <c r="N91" s="476"/>
      <c r="O91" s="476"/>
      <c r="P91" s="476"/>
      <c r="Q91" s="476"/>
      <c r="R91" s="476"/>
      <c r="S91" s="476"/>
      <c r="T91" s="476" t="s">
        <v>55</v>
      </c>
      <c r="U91" s="476"/>
      <c r="V91" s="476" t="s">
        <v>56</v>
      </c>
      <c r="W91" s="476"/>
      <c r="X91" s="476"/>
      <c r="Y91" s="476" t="s">
        <v>51</v>
      </c>
      <c r="Z91" s="476"/>
      <c r="AA91" s="476"/>
      <c r="AB91" s="476"/>
      <c r="AC91" s="476"/>
      <c r="AD91" s="477"/>
      <c r="AF91" s="50"/>
    </row>
    <row r="92" spans="1:32" ht="30.75" customHeight="1">
      <c r="A92" s="478">
        <v>1</v>
      </c>
      <c r="B92" s="479"/>
      <c r="C92" s="480">
        <v>9</v>
      </c>
      <c r="D92" s="480"/>
      <c r="E92" s="480" t="s">
        <v>125</v>
      </c>
      <c r="F92" s="480"/>
      <c r="G92" s="480"/>
      <c r="H92" s="480"/>
      <c r="I92" s="480"/>
      <c r="J92" s="480"/>
      <c r="K92" s="480" t="s">
        <v>132</v>
      </c>
      <c r="L92" s="480"/>
      <c r="M92" s="480"/>
      <c r="N92" s="480"/>
      <c r="O92" s="480"/>
      <c r="P92" s="480"/>
      <c r="Q92" s="480"/>
      <c r="R92" s="480"/>
      <c r="S92" s="480"/>
      <c r="T92" s="480" t="s">
        <v>126</v>
      </c>
      <c r="U92" s="480"/>
      <c r="V92" s="481" t="s">
        <v>129</v>
      </c>
      <c r="W92" s="481"/>
      <c r="X92" s="481"/>
      <c r="Y92" s="482"/>
      <c r="Z92" s="482"/>
      <c r="AA92" s="482"/>
      <c r="AB92" s="482"/>
      <c r="AC92" s="482"/>
      <c r="AD92" s="483"/>
      <c r="AF92" s="50"/>
    </row>
    <row r="93" spans="1:32" ht="30.75" customHeight="1">
      <c r="A93" s="471">
        <v>2</v>
      </c>
      <c r="B93" s="472"/>
      <c r="C93" s="473"/>
      <c r="D93" s="473"/>
      <c r="E93" s="473"/>
      <c r="F93" s="473"/>
      <c r="G93" s="473"/>
      <c r="H93" s="473"/>
      <c r="I93" s="473"/>
      <c r="J93" s="473"/>
      <c r="K93" s="473"/>
      <c r="L93" s="473"/>
      <c r="M93" s="473"/>
      <c r="N93" s="473"/>
      <c r="O93" s="473"/>
      <c r="P93" s="473"/>
      <c r="Q93" s="473"/>
      <c r="R93" s="473"/>
      <c r="S93" s="473"/>
      <c r="T93" s="474"/>
      <c r="U93" s="474"/>
      <c r="V93" s="475"/>
      <c r="W93" s="475"/>
      <c r="X93" s="475"/>
      <c r="Y93" s="463"/>
      <c r="Z93" s="463"/>
      <c r="AA93" s="463"/>
      <c r="AB93" s="463"/>
      <c r="AC93" s="463"/>
      <c r="AD93" s="464"/>
      <c r="AF93" s="50"/>
    </row>
    <row r="94" spans="1:32" ht="30.75" customHeight="1" thickBot="1">
      <c r="A94" s="465">
        <v>3</v>
      </c>
      <c r="B94" s="466"/>
      <c r="C94" s="467"/>
      <c r="D94" s="467"/>
      <c r="E94" s="467"/>
      <c r="F94" s="467"/>
      <c r="G94" s="467"/>
      <c r="H94" s="467"/>
      <c r="I94" s="467"/>
      <c r="J94" s="467"/>
      <c r="K94" s="467"/>
      <c r="L94" s="467"/>
      <c r="M94" s="467"/>
      <c r="N94" s="467"/>
      <c r="O94" s="467"/>
      <c r="P94" s="467"/>
      <c r="Q94" s="467"/>
      <c r="R94" s="467"/>
      <c r="S94" s="467"/>
      <c r="T94" s="467"/>
      <c r="U94" s="467"/>
      <c r="V94" s="468"/>
      <c r="W94" s="468"/>
      <c r="X94" s="468"/>
      <c r="Y94" s="469"/>
      <c r="Z94" s="469"/>
      <c r="AA94" s="469"/>
      <c r="AB94" s="469"/>
      <c r="AC94" s="469"/>
      <c r="AD94" s="470"/>
      <c r="AF94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9:H29"/>
    <mergeCell ref="A56:E56"/>
    <mergeCell ref="A57:M57"/>
    <mergeCell ref="N57:AD57"/>
    <mergeCell ref="A58:B58"/>
    <mergeCell ref="F58:M58"/>
    <mergeCell ref="P58:Q58"/>
    <mergeCell ref="R58:U58"/>
    <mergeCell ref="V58:AD58"/>
    <mergeCell ref="I4:O4"/>
    <mergeCell ref="P4:Q4"/>
    <mergeCell ref="R4:V4"/>
    <mergeCell ref="W4:AA4"/>
    <mergeCell ref="AB4:AB5"/>
    <mergeCell ref="AC4:AC5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9:E69"/>
    <mergeCell ref="A70:B70"/>
    <mergeCell ref="F70:J70"/>
    <mergeCell ref="K70:L70"/>
    <mergeCell ref="N70:O70"/>
    <mergeCell ref="P70:Q70"/>
    <mergeCell ref="A67:B67"/>
    <mergeCell ref="F67:M67"/>
    <mergeCell ref="P67:Q67"/>
    <mergeCell ref="R70:AA70"/>
    <mergeCell ref="AB70:AD70"/>
    <mergeCell ref="A71:B71"/>
    <mergeCell ref="F71:J71"/>
    <mergeCell ref="K71:L71"/>
    <mergeCell ref="N71:O71"/>
    <mergeCell ref="P71:Q71"/>
    <mergeCell ref="R71:AA71"/>
    <mergeCell ref="AB71:AD71"/>
    <mergeCell ref="AB72:AD72"/>
    <mergeCell ref="A73:B73"/>
    <mergeCell ref="F73:J73"/>
    <mergeCell ref="K73:L73"/>
    <mergeCell ref="N73:O73"/>
    <mergeCell ref="P73:Q73"/>
    <mergeCell ref="R73:AA73"/>
    <mergeCell ref="AB73:AD73"/>
    <mergeCell ref="A72:B72"/>
    <mergeCell ref="F72:J72"/>
    <mergeCell ref="K72:L72"/>
    <mergeCell ref="N72:O72"/>
    <mergeCell ref="P72:Q72"/>
    <mergeCell ref="R72:AA72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E81"/>
    <mergeCell ref="A82:B82"/>
    <mergeCell ref="F82:J82"/>
    <mergeCell ref="K82:S82"/>
    <mergeCell ref="T82:U82"/>
    <mergeCell ref="V82:W82"/>
    <mergeCell ref="X82:AD82"/>
    <mergeCell ref="A80:B80"/>
    <mergeCell ref="F80:J80"/>
    <mergeCell ref="K80:L80"/>
    <mergeCell ref="N80:O80"/>
    <mergeCell ref="P80:Q80"/>
    <mergeCell ref="R80:AA80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90:E90"/>
    <mergeCell ref="A91:B91"/>
    <mergeCell ref="C91:D91"/>
    <mergeCell ref="E91:J91"/>
    <mergeCell ref="K91:S91"/>
    <mergeCell ref="T91:U91"/>
    <mergeCell ref="A89:B89"/>
    <mergeCell ref="F89:J89"/>
    <mergeCell ref="K89:S89"/>
    <mergeCell ref="T89:U89"/>
    <mergeCell ref="V91:X91"/>
    <mergeCell ref="Y91:AD91"/>
    <mergeCell ref="A92:B92"/>
    <mergeCell ref="C92:D92"/>
    <mergeCell ref="E92:J92"/>
    <mergeCell ref="K92:S92"/>
    <mergeCell ref="T92:U92"/>
    <mergeCell ref="V92:X92"/>
    <mergeCell ref="Y92:AD92"/>
    <mergeCell ref="Y93:AD93"/>
    <mergeCell ref="A94:B94"/>
    <mergeCell ref="C94:D94"/>
    <mergeCell ref="E94:J94"/>
    <mergeCell ref="K94:S94"/>
    <mergeCell ref="T94:U94"/>
    <mergeCell ref="V94:X94"/>
    <mergeCell ref="Y94:AD94"/>
    <mergeCell ref="A93:B93"/>
    <mergeCell ref="C93:D93"/>
    <mergeCell ref="E93:J93"/>
    <mergeCell ref="K93:S93"/>
    <mergeCell ref="T93:U93"/>
    <mergeCell ref="V93:X93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4" max="2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29</vt:i4>
      </vt:variant>
      <vt:variant>
        <vt:lpstr>이름 지정된 범위</vt:lpstr>
      </vt:variant>
      <vt:variant>
        <vt:i4>56</vt:i4>
      </vt:variant>
    </vt:vector>
  </HeadingPairs>
  <TitlesOfParts>
    <vt:vector size="85" baseType="lpstr">
      <vt:lpstr>01</vt:lpstr>
      <vt:lpstr>03</vt:lpstr>
      <vt:lpstr>04</vt:lpstr>
      <vt:lpstr>05</vt:lpstr>
      <vt:lpstr>06</vt:lpstr>
      <vt:lpstr>07</vt:lpstr>
      <vt:lpstr>08</vt:lpstr>
      <vt:lpstr>10</vt:lpstr>
      <vt:lpstr>11</vt:lpstr>
      <vt:lpstr>12</vt:lpstr>
      <vt:lpstr>13</vt:lpstr>
      <vt:lpstr>14</vt:lpstr>
      <vt:lpstr>15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총괄</vt:lpstr>
      <vt:lpstr>'01'!Print_Area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'17'!Print_Area</vt:lpstr>
      <vt:lpstr>'18'!Print_Area</vt:lpstr>
      <vt:lpstr>'19'!Print_Area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'30'!Print_Area</vt:lpstr>
      <vt:lpstr>'31'!Print_Area</vt:lpstr>
      <vt:lpstr>'01'!ㅁ1</vt:lpstr>
      <vt:lpstr>'03'!ㅁ1</vt:lpstr>
      <vt:lpstr>'04'!ㅁ1</vt:lpstr>
      <vt:lpstr>'05'!ㅁ1</vt:lpstr>
      <vt:lpstr>'06'!ㅁ1</vt:lpstr>
      <vt:lpstr>'07'!ㅁ1</vt:lpstr>
      <vt:lpstr>'08'!ㅁ1</vt:lpstr>
      <vt:lpstr>'10'!ㅁ1</vt:lpstr>
      <vt:lpstr>'11'!ㅁ1</vt:lpstr>
      <vt:lpstr>'12'!ㅁ1</vt:lpstr>
      <vt:lpstr>'13'!ㅁ1</vt:lpstr>
      <vt:lpstr>'14'!ㅁ1</vt:lpstr>
      <vt:lpstr>'15'!ㅁ1</vt:lpstr>
      <vt:lpstr>'17'!ㅁ1</vt:lpstr>
      <vt:lpstr>'18'!ㅁ1</vt:lpstr>
      <vt:lpstr>'19'!ㅁ1</vt:lpstr>
      <vt:lpstr>'20'!ㅁ1</vt:lpstr>
      <vt:lpstr>'21'!ㅁ1</vt:lpstr>
      <vt:lpstr>'22'!ㅁ1</vt:lpstr>
      <vt:lpstr>'23'!ㅁ1</vt:lpstr>
      <vt:lpstr>'24'!ㅁ1</vt:lpstr>
      <vt:lpstr>'25'!ㅁ1</vt:lpstr>
      <vt:lpstr>'26'!ㅁ1</vt:lpstr>
      <vt:lpstr>'27'!ㅁ1</vt:lpstr>
      <vt:lpstr>'28'!ㅁ1</vt:lpstr>
      <vt:lpstr>'29'!ㅁ1</vt:lpstr>
      <vt:lpstr>'30'!ㅁ1</vt:lpstr>
      <vt:lpstr>'31'!ㅁ1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2021-05-10T23:53:31Z</cp:lastPrinted>
  <dcterms:created xsi:type="dcterms:W3CDTF">2014-05-16T00:06:55Z</dcterms:created>
  <dcterms:modified xsi:type="dcterms:W3CDTF">2021-05-31T23:45:16Z</dcterms:modified>
</cp:coreProperties>
</file>