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1년도\일일업무\생산일보\"/>
    </mc:Choice>
  </mc:AlternateContent>
  <xr:revisionPtr revIDLastSave="0" documentId="13_ncr:1_{28FECE79-C34A-458A-BD4E-6F34A275D0A6}" xr6:coauthVersionLast="47" xr6:coauthVersionMax="47" xr10:uidLastSave="{00000000-0000-0000-0000-000000000000}"/>
  <bookViews>
    <workbookView xWindow="-120" yWindow="-120" windowWidth="29040" windowHeight="15840" firstSheet="2" activeTab="24" xr2:uid="{00000000-000D-0000-FFFF-FFFF00000000}"/>
  </bookViews>
  <sheets>
    <sheet name="01" sheetId="2027" r:id="rId1"/>
    <sheet name="02" sheetId="2028" r:id="rId2"/>
    <sheet name="03" sheetId="2029" r:id="rId3"/>
    <sheet name="04" sheetId="2030" r:id="rId4"/>
    <sheet name="05" sheetId="2031" r:id="rId5"/>
    <sheet name="06" sheetId="2032" r:id="rId6"/>
    <sheet name="07" sheetId="2033" r:id="rId7"/>
    <sheet name="08" sheetId="2034" r:id="rId8"/>
    <sheet name="09" sheetId="2035" r:id="rId9"/>
    <sheet name="10" sheetId="2036" r:id="rId10"/>
    <sheet name="11" sheetId="2037" r:id="rId11"/>
    <sheet name="14" sheetId="2038" r:id="rId12"/>
    <sheet name="15" sheetId="2039" r:id="rId13"/>
    <sheet name="16" sheetId="2040" r:id="rId14"/>
    <sheet name="17" sheetId="2041" r:id="rId15"/>
    <sheet name="18" sheetId="2042" r:id="rId16"/>
    <sheet name="21" sheetId="2043" r:id="rId17"/>
    <sheet name="22" sheetId="2044" r:id="rId18"/>
    <sheet name="23" sheetId="2045" r:id="rId19"/>
    <sheet name="24" sheetId="2046" r:id="rId20"/>
    <sheet name="25" sheetId="2047" r:id="rId21"/>
    <sheet name="26" sheetId="2048" r:id="rId22"/>
    <sheet name="28" sheetId="2049" r:id="rId23"/>
    <sheet name="29" sheetId="2050" r:id="rId24"/>
    <sheet name="30" sheetId="2051" r:id="rId25"/>
    <sheet name="총괄" sheetId="16" r:id="rId26"/>
  </sheets>
  <definedNames>
    <definedName name="_xlnm.Print_Area" localSheetId="0">'01'!$A$1:$AD$93</definedName>
    <definedName name="_xlnm.Print_Area" localSheetId="1">'02'!$A$1:$AD$93</definedName>
    <definedName name="_xlnm.Print_Area" localSheetId="2">'03'!$A$1:$AD$93</definedName>
    <definedName name="_xlnm.Print_Area" localSheetId="3">'04'!$A$1:$AD$93</definedName>
    <definedName name="_xlnm.Print_Area" localSheetId="4">'05'!$A$1:$AD$93</definedName>
    <definedName name="_xlnm.Print_Area" localSheetId="5">'06'!$A$1:$AD$93</definedName>
    <definedName name="_xlnm.Print_Area" localSheetId="6">'07'!$A$1:$AD$93</definedName>
    <definedName name="_xlnm.Print_Area" localSheetId="7">'08'!$A$1:$AD$93</definedName>
    <definedName name="_xlnm.Print_Area" localSheetId="8">'09'!$A$1:$AD$93</definedName>
    <definedName name="_xlnm.Print_Area" localSheetId="9">'10'!$A$1:$AD$94</definedName>
    <definedName name="_xlnm.Print_Area" localSheetId="10">'11'!$A$1:$AD$93</definedName>
    <definedName name="_xlnm.Print_Area" localSheetId="11">'14'!$A$1:$AD$94</definedName>
    <definedName name="_xlnm.Print_Area" localSheetId="12">'15'!$A$1:$AD$93</definedName>
    <definedName name="_xlnm.Print_Area" localSheetId="13">'16'!$A$1:$AD$93</definedName>
    <definedName name="_xlnm.Print_Area" localSheetId="14">'17'!$A$1:$AD$93</definedName>
    <definedName name="_xlnm.Print_Area" localSheetId="15">'18'!$A$1:$AD$93</definedName>
    <definedName name="_xlnm.Print_Area" localSheetId="16">'21'!$A$1:$AD$93</definedName>
    <definedName name="_xlnm.Print_Area" localSheetId="17">'22'!$A$1:$AD$93</definedName>
    <definedName name="_xlnm.Print_Area" localSheetId="18">'23'!$A$1:$AD$93</definedName>
    <definedName name="_xlnm.Print_Area" localSheetId="19">'24'!$A$1:$AD$93</definedName>
    <definedName name="_xlnm.Print_Area" localSheetId="20">'25'!$A$1:$AD$93</definedName>
    <definedName name="_xlnm.Print_Area" localSheetId="21">'26'!$A$1:$AD$93</definedName>
    <definedName name="_xlnm.Print_Area" localSheetId="22">'28'!$A$1:$AD$93</definedName>
    <definedName name="_xlnm.Print_Area" localSheetId="23">'29'!$A$1:$AD$93</definedName>
    <definedName name="_xlnm.Print_Area" localSheetId="24">'30'!$A$1:$AD$94</definedName>
    <definedName name="ㅁ1" localSheetId="0">'01'!$M$1048528:$M$1048576</definedName>
    <definedName name="ㅁ1" localSheetId="1">'02'!$M$1048528:$M$1048576</definedName>
    <definedName name="ㅁ1" localSheetId="2">'03'!$M$1048528:$M$1048576</definedName>
    <definedName name="ㅁ1" localSheetId="3">'04'!$M$1048528:$M$1048576</definedName>
    <definedName name="ㅁ1" localSheetId="4">'05'!$M$1048528:$M$1048576</definedName>
    <definedName name="ㅁ1" localSheetId="5">'06'!$M$1048528:$M$1048576</definedName>
    <definedName name="ㅁ1" localSheetId="6">'07'!$M$1048528:$M$1048576</definedName>
    <definedName name="ㅁ1" localSheetId="7">'08'!$M$1048528:$M$1048576</definedName>
    <definedName name="ㅁ1" localSheetId="8">'09'!$M$1048528:$M$1048576</definedName>
    <definedName name="ㅁ1" localSheetId="9">'10'!$M$1048529:$M$1048576</definedName>
    <definedName name="ㅁ1" localSheetId="10">'11'!$M$1048528:$M$1048576</definedName>
    <definedName name="ㅁ1" localSheetId="11">'14'!$M$1048529:$M$1048576</definedName>
    <definedName name="ㅁ1" localSheetId="12">'15'!$M$1048528:$M$1048576</definedName>
    <definedName name="ㅁ1" localSheetId="13">'16'!$M$1048528:$M$1048576</definedName>
    <definedName name="ㅁ1" localSheetId="14">'17'!$M$1048528:$M$1048576</definedName>
    <definedName name="ㅁ1" localSheetId="15">'18'!$M$1048528:$M$1048576</definedName>
    <definedName name="ㅁ1" localSheetId="16">'21'!$M$1048528:$M$1048576</definedName>
    <definedName name="ㅁ1" localSheetId="17">'22'!$M$1048528:$M$1048576</definedName>
    <definedName name="ㅁ1" localSheetId="18">'23'!$M$1048528:$M$1048576</definedName>
    <definedName name="ㅁ1" localSheetId="19">'24'!$M$1048528:$M$1048576</definedName>
    <definedName name="ㅁ1" localSheetId="20">'25'!$M$1048528:$M$1048576</definedName>
    <definedName name="ㅁ1" localSheetId="21">'26'!$M$1048528:$M$1048576</definedName>
    <definedName name="ㅁ1" localSheetId="22">'28'!$M$1048528:$M$1048576</definedName>
    <definedName name="ㅁ1" localSheetId="23">'29'!$M$1048528:$M$1048576</definedName>
    <definedName name="ㅁ1" localSheetId="24">'30'!$M$1048529:$M$1048576</definedName>
    <definedName name="ㅁ1">#REF!</definedName>
  </definedNames>
  <calcPr calcId="181029"/>
</workbook>
</file>

<file path=xl/calcChain.xml><?xml version="1.0" encoding="utf-8"?>
<calcChain xmlns="http://schemas.openxmlformats.org/spreadsheetml/2006/main">
  <c r="AE25" i="16" l="1"/>
  <c r="AE24" i="16"/>
  <c r="AE23" i="16"/>
  <c r="AE22" i="16"/>
  <c r="AE21" i="16"/>
  <c r="AE20" i="16"/>
  <c r="AE19" i="16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2" i="2051"/>
  <c r="L21" i="2051"/>
  <c r="L20" i="2051"/>
  <c r="L19" i="2051"/>
  <c r="L18" i="2051"/>
  <c r="K18" i="2051" s="1"/>
  <c r="L13" i="2051"/>
  <c r="L11" i="2051"/>
  <c r="K11" i="2051"/>
  <c r="L8" i="2051"/>
  <c r="K8" i="2051"/>
  <c r="K7" i="2051"/>
  <c r="AF7" i="2051"/>
  <c r="Q7" i="2051"/>
  <c r="P7" i="2051" s="1"/>
  <c r="AC7" i="2051" s="1"/>
  <c r="O7" i="2051"/>
  <c r="AB7" i="2051"/>
  <c r="L6" i="2051"/>
  <c r="O6" i="2051" s="1"/>
  <c r="K22" i="2051"/>
  <c r="K20" i="2051"/>
  <c r="K19" i="2051"/>
  <c r="K15" i="2051"/>
  <c r="K13" i="2051"/>
  <c r="K12" i="2051"/>
  <c r="K9" i="2051"/>
  <c r="A84" i="2051"/>
  <c r="A85" i="2051" s="1"/>
  <c r="A86" i="2051" s="1"/>
  <c r="A87" i="2051" s="1"/>
  <c r="A88" i="2051" s="1"/>
  <c r="A89" i="2051" s="1"/>
  <c r="AF68" i="2051"/>
  <c r="AF70" i="2051" s="1"/>
  <c r="AF67" i="2051"/>
  <c r="AA29" i="2051"/>
  <c r="Z29" i="2051"/>
  <c r="Y29" i="2051"/>
  <c r="X29" i="2051"/>
  <c r="W29" i="2051"/>
  <c r="V29" i="2051"/>
  <c r="U29" i="2051"/>
  <c r="T29" i="2051"/>
  <c r="S29" i="2051"/>
  <c r="R29" i="2051"/>
  <c r="N29" i="2051"/>
  <c r="J29" i="2051"/>
  <c r="AF28" i="2051"/>
  <c r="AB28" i="2051"/>
  <c r="Q28" i="2051"/>
  <c r="P28" i="2051"/>
  <c r="AC28" i="2051" s="1"/>
  <c r="O28" i="2051"/>
  <c r="M28" i="2051"/>
  <c r="K28" i="2051"/>
  <c r="AF27" i="2051"/>
  <c r="AB27" i="2051"/>
  <c r="Q27" i="2051"/>
  <c r="P27" i="2051"/>
  <c r="AC27" i="2051" s="1"/>
  <c r="AD27" i="2051" s="1"/>
  <c r="O27" i="2051"/>
  <c r="M27" i="2051"/>
  <c r="K27" i="2051"/>
  <c r="AF26" i="2051"/>
  <c r="AB26" i="2051"/>
  <c r="Q26" i="2051"/>
  <c r="P26" i="2051"/>
  <c r="AC26" i="2051" s="1"/>
  <c r="O26" i="2051"/>
  <c r="M26" i="2051"/>
  <c r="K26" i="2051"/>
  <c r="AF25" i="2051"/>
  <c r="AB25" i="2051"/>
  <c r="Q25" i="2051"/>
  <c r="P25" i="2051"/>
  <c r="AC25" i="2051" s="1"/>
  <c r="O25" i="2051"/>
  <c r="M25" i="2051"/>
  <c r="K25" i="2051"/>
  <c r="AF24" i="2051"/>
  <c r="AB24" i="2051"/>
  <c r="Q24" i="2051"/>
  <c r="P24" i="2051"/>
  <c r="AC24" i="2051" s="1"/>
  <c r="O24" i="2051"/>
  <c r="M24" i="2051"/>
  <c r="K24" i="2051"/>
  <c r="AF23" i="2051"/>
  <c r="AB23" i="2051"/>
  <c r="Q23" i="2051"/>
  <c r="P23" i="2051"/>
  <c r="AC23" i="2051" s="1"/>
  <c r="AD23" i="2051" s="1"/>
  <c r="O23" i="2051"/>
  <c r="M23" i="2051"/>
  <c r="K23" i="2051"/>
  <c r="AF22" i="2051"/>
  <c r="AB22" i="2051"/>
  <c r="Q22" i="2051"/>
  <c r="P22" i="2051"/>
  <c r="AC22" i="2051" s="1"/>
  <c r="O22" i="2051"/>
  <c r="M22" i="2051"/>
  <c r="AF21" i="2051"/>
  <c r="Q21" i="2051"/>
  <c r="AF20" i="2051"/>
  <c r="Q20" i="2051"/>
  <c r="AF19" i="2051"/>
  <c r="Q19" i="2051"/>
  <c r="O19" i="2051"/>
  <c r="AB19" i="2051"/>
  <c r="AF18" i="2051"/>
  <c r="AB18" i="2051"/>
  <c r="Q18" i="2051"/>
  <c r="P18" i="2051" s="1"/>
  <c r="AC18" i="2051" s="1"/>
  <c r="O18" i="2051"/>
  <c r="M18" i="2051"/>
  <c r="AF17" i="2051"/>
  <c r="AB17" i="2051"/>
  <c r="Q17" i="2051"/>
  <c r="P17" i="2051"/>
  <c r="AC17" i="2051" s="1"/>
  <c r="O17" i="2051"/>
  <c r="M17" i="2051"/>
  <c r="K17" i="2051"/>
  <c r="AF16" i="2051"/>
  <c r="AB16" i="2051"/>
  <c r="Q16" i="2051"/>
  <c r="P16" i="2051"/>
  <c r="AC16" i="2051" s="1"/>
  <c r="O16" i="2051"/>
  <c r="M16" i="2051"/>
  <c r="K16" i="2051"/>
  <c r="AF15" i="2051"/>
  <c r="AB15" i="2051"/>
  <c r="Q15" i="2051"/>
  <c r="P15" i="2051"/>
  <c r="AC15" i="2051" s="1"/>
  <c r="M15" i="2051"/>
  <c r="O15" i="2051"/>
  <c r="AF14" i="2051"/>
  <c r="AB14" i="2051"/>
  <c r="Q14" i="2051"/>
  <c r="P14" i="2051"/>
  <c r="AC14" i="2051" s="1"/>
  <c r="O14" i="2051"/>
  <c r="M14" i="2051"/>
  <c r="K14" i="2051"/>
  <c r="I14" i="2051"/>
  <c r="I29" i="2051" s="1"/>
  <c r="AF13" i="2051"/>
  <c r="AB13" i="2051"/>
  <c r="Q13" i="2051"/>
  <c r="P13" i="2051"/>
  <c r="AC13" i="2051" s="1"/>
  <c r="O13" i="2051"/>
  <c r="M13" i="2051"/>
  <c r="AF12" i="2051"/>
  <c r="AB12" i="2051"/>
  <c r="Q12" i="2051"/>
  <c r="P12" i="2051" s="1"/>
  <c r="AC12" i="2051" s="1"/>
  <c r="O12" i="2051"/>
  <c r="M12" i="2051"/>
  <c r="AF11" i="2051"/>
  <c r="AB11" i="2051"/>
  <c r="Q11" i="2051"/>
  <c r="P11" i="2051" s="1"/>
  <c r="AC11" i="2051" s="1"/>
  <c r="O11" i="2051"/>
  <c r="M11" i="2051"/>
  <c r="AF10" i="2051"/>
  <c r="AB10" i="2051"/>
  <c r="Q10" i="2051"/>
  <c r="P10" i="2051"/>
  <c r="AC10" i="2051" s="1"/>
  <c r="O10" i="2051"/>
  <c r="M10" i="2051"/>
  <c r="K10" i="2051"/>
  <c r="AF9" i="2051"/>
  <c r="Q9" i="2051"/>
  <c r="O9" i="2051"/>
  <c r="AB9" i="2051"/>
  <c r="AF8" i="2051"/>
  <c r="AB8" i="2051"/>
  <c r="Q8" i="2051"/>
  <c r="P8" i="2051" s="1"/>
  <c r="AC8" i="2051" s="1"/>
  <c r="O8" i="2051"/>
  <c r="M8" i="2051"/>
  <c r="AF6" i="2051"/>
  <c r="Q6" i="2051"/>
  <c r="P21" i="2051" l="1"/>
  <c r="AC21" i="2051" s="1"/>
  <c r="K21" i="2051"/>
  <c r="P20" i="2051"/>
  <c r="AC20" i="2051" s="1"/>
  <c r="AD20" i="2051" s="1"/>
  <c r="O20" i="2051"/>
  <c r="AD18" i="2051"/>
  <c r="Q29" i="2051"/>
  <c r="AD7" i="2051"/>
  <c r="AD13" i="2051"/>
  <c r="AD14" i="2051"/>
  <c r="AD26" i="2051"/>
  <c r="AD11" i="2051"/>
  <c r="AD25" i="2051"/>
  <c r="K6" i="2051"/>
  <c r="AD10" i="2051"/>
  <c r="AD24" i="2051"/>
  <c r="AD28" i="2051"/>
  <c r="M7" i="2051"/>
  <c r="P6" i="2051"/>
  <c r="AC6" i="2051" s="1"/>
  <c r="AD8" i="2051"/>
  <c r="AD17" i="2051"/>
  <c r="AD22" i="2051"/>
  <c r="AD16" i="2051"/>
  <c r="AD12" i="2051"/>
  <c r="AD15" i="2051"/>
  <c r="K29" i="2051"/>
  <c r="P9" i="2051"/>
  <c r="AC9" i="2051" s="1"/>
  <c r="AD9" i="2051" s="1"/>
  <c r="P19" i="2051"/>
  <c r="AC19" i="2051" s="1"/>
  <c r="AD19" i="2051" s="1"/>
  <c r="M21" i="2051"/>
  <c r="AB21" i="2051"/>
  <c r="AD21" i="2051" s="1"/>
  <c r="M20" i="2051"/>
  <c r="AB20" i="2051"/>
  <c r="O21" i="2051"/>
  <c r="L29" i="2051"/>
  <c r="O29" i="2051" s="1"/>
  <c r="M6" i="2051"/>
  <c r="AB6" i="2051"/>
  <c r="M9" i="2051"/>
  <c r="M19" i="2051"/>
  <c r="AD25" i="16"/>
  <c r="AD24" i="16"/>
  <c r="AD23" i="16"/>
  <c r="AD22" i="16"/>
  <c r="AD21" i="16"/>
  <c r="AD20" i="16"/>
  <c r="AD19" i="16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1" i="2050"/>
  <c r="L20" i="2050"/>
  <c r="M20" i="2050" s="1"/>
  <c r="K20" i="2050"/>
  <c r="L19" i="2050"/>
  <c r="K19" i="2050" s="1"/>
  <c r="L18" i="2050"/>
  <c r="L14" i="2050"/>
  <c r="K14" i="2050"/>
  <c r="L12" i="2050"/>
  <c r="K7" i="2050"/>
  <c r="L8" i="2050"/>
  <c r="O8" i="2050" s="1"/>
  <c r="L6" i="2050"/>
  <c r="K21" i="2050"/>
  <c r="K18" i="2050"/>
  <c r="K12" i="2050"/>
  <c r="K11" i="2050"/>
  <c r="K8" i="2050"/>
  <c r="K6" i="2050"/>
  <c r="A83" i="2050"/>
  <c r="A84" i="2050" s="1"/>
  <c r="A85" i="2050" s="1"/>
  <c r="A86" i="2050" s="1"/>
  <c r="A87" i="2050" s="1"/>
  <c r="A88" i="2050" s="1"/>
  <c r="AF67" i="2050"/>
  <c r="AF66" i="2050"/>
  <c r="AF69" i="2050" s="1"/>
  <c r="AA28" i="2050"/>
  <c r="Z28" i="2050"/>
  <c r="Y28" i="2050"/>
  <c r="X28" i="2050"/>
  <c r="W28" i="2050"/>
  <c r="V28" i="2050"/>
  <c r="U28" i="2050"/>
  <c r="T28" i="2050"/>
  <c r="S28" i="2050"/>
  <c r="R28" i="2050"/>
  <c r="N28" i="2050"/>
  <c r="J28" i="2050"/>
  <c r="AF27" i="2050"/>
  <c r="AB27" i="2050"/>
  <c r="Q27" i="2050"/>
  <c r="P27" i="2050"/>
  <c r="AC27" i="2050" s="1"/>
  <c r="AD27" i="2050" s="1"/>
  <c r="O27" i="2050"/>
  <c r="M27" i="2050"/>
  <c r="K27" i="2050"/>
  <c r="AF26" i="2050"/>
  <c r="AB26" i="2050"/>
  <c r="Q26" i="2050"/>
  <c r="P26" i="2050"/>
  <c r="AC26" i="2050" s="1"/>
  <c r="AD26" i="2050" s="1"/>
  <c r="O26" i="2050"/>
  <c r="M26" i="2050"/>
  <c r="K26" i="2050"/>
  <c r="AF25" i="2050"/>
  <c r="AB25" i="2050"/>
  <c r="Q25" i="2050"/>
  <c r="P25" i="2050"/>
  <c r="AC25" i="2050" s="1"/>
  <c r="AD25" i="2050" s="1"/>
  <c r="O25" i="2050"/>
  <c r="M25" i="2050"/>
  <c r="K25" i="2050"/>
  <c r="AF24" i="2050"/>
  <c r="AB24" i="2050"/>
  <c r="Q24" i="2050"/>
  <c r="P24" i="2050"/>
  <c r="AC24" i="2050" s="1"/>
  <c r="AD24" i="2050" s="1"/>
  <c r="O24" i="2050"/>
  <c r="M24" i="2050"/>
  <c r="K24" i="2050"/>
  <c r="AF23" i="2050"/>
  <c r="AB23" i="2050"/>
  <c r="Q23" i="2050"/>
  <c r="P23" i="2050"/>
  <c r="AC23" i="2050" s="1"/>
  <c r="AD23" i="2050" s="1"/>
  <c r="O23" i="2050"/>
  <c r="M23" i="2050"/>
  <c r="K23" i="2050"/>
  <c r="AF22" i="2050"/>
  <c r="AB22" i="2050"/>
  <c r="Q22" i="2050"/>
  <c r="P22" i="2050"/>
  <c r="AC22" i="2050" s="1"/>
  <c r="O22" i="2050"/>
  <c r="M22" i="2050"/>
  <c r="K22" i="2050"/>
  <c r="AF21" i="2050"/>
  <c r="Q21" i="2050"/>
  <c r="P21" i="2050" s="1"/>
  <c r="AC21" i="2050" s="1"/>
  <c r="O21" i="2050"/>
  <c r="AB21" i="2050"/>
  <c r="AF20" i="2050"/>
  <c r="Q20" i="2050"/>
  <c r="O20" i="2050"/>
  <c r="AF19" i="2050"/>
  <c r="AB19" i="2050"/>
  <c r="Q19" i="2050"/>
  <c r="M19" i="2050"/>
  <c r="AF18" i="2050"/>
  <c r="Q18" i="2050"/>
  <c r="O18" i="2050"/>
  <c r="AF17" i="2050"/>
  <c r="AB17" i="2050"/>
  <c r="Q17" i="2050"/>
  <c r="P17" i="2050"/>
  <c r="AC17" i="2050" s="1"/>
  <c r="AD17" i="2050" s="1"/>
  <c r="O17" i="2050"/>
  <c r="M17" i="2050"/>
  <c r="K17" i="2050"/>
  <c r="AF16" i="2050"/>
  <c r="AB16" i="2050"/>
  <c r="Q16" i="2050"/>
  <c r="P16" i="2050"/>
  <c r="AC16" i="2050" s="1"/>
  <c r="O16" i="2050"/>
  <c r="M16" i="2050"/>
  <c r="K16" i="2050"/>
  <c r="AF15" i="2050"/>
  <c r="AC15" i="2050"/>
  <c r="AB15" i="2050"/>
  <c r="Q15" i="2050"/>
  <c r="P15" i="2050"/>
  <c r="O15" i="2050"/>
  <c r="M15" i="2050"/>
  <c r="K15" i="2050"/>
  <c r="AF14" i="2050"/>
  <c r="AB14" i="2050"/>
  <c r="Q14" i="2050"/>
  <c r="P14" i="2050" s="1"/>
  <c r="AC14" i="2050" s="1"/>
  <c r="O14" i="2050"/>
  <c r="M14" i="2050"/>
  <c r="AF13" i="2050"/>
  <c r="AB13" i="2050"/>
  <c r="Q13" i="2050"/>
  <c r="P13" i="2050"/>
  <c r="AC13" i="2050" s="1"/>
  <c r="AD13" i="2050" s="1"/>
  <c r="O13" i="2050"/>
  <c r="M13" i="2050"/>
  <c r="K13" i="2050"/>
  <c r="I13" i="2050"/>
  <c r="I28" i="2050" s="1"/>
  <c r="AF12" i="2050"/>
  <c r="AB12" i="2050"/>
  <c r="Q12" i="2050"/>
  <c r="M12" i="2050"/>
  <c r="O12" i="2050"/>
  <c r="AF11" i="2050"/>
  <c r="AB11" i="2050"/>
  <c r="Q11" i="2050"/>
  <c r="P11" i="2050" s="1"/>
  <c r="AC11" i="2050" s="1"/>
  <c r="O11" i="2050"/>
  <c r="M11" i="2050"/>
  <c r="AF10" i="2050"/>
  <c r="AC10" i="2050"/>
  <c r="AD10" i="2050" s="1"/>
  <c r="AB10" i="2050"/>
  <c r="Q10" i="2050"/>
  <c r="P10" i="2050"/>
  <c r="O10" i="2050"/>
  <c r="M10" i="2050"/>
  <c r="K10" i="2050"/>
  <c r="AF9" i="2050"/>
  <c r="AB9" i="2050"/>
  <c r="Q9" i="2050"/>
  <c r="P9" i="2050"/>
  <c r="AC9" i="2050" s="1"/>
  <c r="O9" i="2050"/>
  <c r="M9" i="2050"/>
  <c r="K9" i="2050"/>
  <c r="AF8" i="2050"/>
  <c r="Q8" i="2050"/>
  <c r="P8" i="2050"/>
  <c r="AC8" i="2050" s="1"/>
  <c r="AF7" i="2050"/>
  <c r="AB7" i="2050"/>
  <c r="Q7" i="2050"/>
  <c r="P7" i="2050" s="1"/>
  <c r="AC7" i="2050" s="1"/>
  <c r="O7" i="2050"/>
  <c r="M7" i="2050"/>
  <c r="AF6" i="2050"/>
  <c r="Q6" i="2050"/>
  <c r="P6" i="2050"/>
  <c r="AC6" i="2050" s="1"/>
  <c r="O6" i="2050"/>
  <c r="AC25" i="16"/>
  <c r="AC24" i="16"/>
  <c r="AC23" i="16"/>
  <c r="AC22" i="16"/>
  <c r="AC21" i="16"/>
  <c r="AC20" i="16"/>
  <c r="AC19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1" i="2049"/>
  <c r="L20" i="2049"/>
  <c r="M20" i="2049" s="1"/>
  <c r="K19" i="2049"/>
  <c r="L18" i="2049"/>
  <c r="AD6" i="2051" l="1"/>
  <c r="AD29" i="2051"/>
  <c r="M29" i="2051"/>
  <c r="P29" i="2051"/>
  <c r="AC29" i="2051"/>
  <c r="AB29" i="2051"/>
  <c r="P20" i="2050"/>
  <c r="AC20" i="2050" s="1"/>
  <c r="AB20" i="2050"/>
  <c r="O19" i="2050"/>
  <c r="P19" i="2050"/>
  <c r="AC19" i="2050" s="1"/>
  <c r="AD19" i="2050" s="1"/>
  <c r="P18" i="2050"/>
  <c r="AC18" i="2050" s="1"/>
  <c r="AD11" i="2050"/>
  <c r="Q28" i="2050"/>
  <c r="M8" i="2050"/>
  <c r="AB8" i="2050"/>
  <c r="AD8" i="2050" s="1"/>
  <c r="AD15" i="2050"/>
  <c r="AD16" i="2050"/>
  <c r="AD7" i="2050"/>
  <c r="AD9" i="2050"/>
  <c r="AD22" i="2050"/>
  <c r="AD14" i="2050"/>
  <c r="AD21" i="2050"/>
  <c r="M6" i="2050"/>
  <c r="AB6" i="2050"/>
  <c r="AD6" i="2050" s="1"/>
  <c r="K28" i="2050"/>
  <c r="P12" i="2050"/>
  <c r="AC12" i="2050" s="1"/>
  <c r="AD12" i="2050" s="1"/>
  <c r="M18" i="2050"/>
  <c r="AB18" i="2050"/>
  <c r="AD18" i="2050" s="1"/>
  <c r="M21" i="2050"/>
  <c r="L28" i="2050"/>
  <c r="O28" i="2050" s="1"/>
  <c r="K20" i="2049"/>
  <c r="AE28" i="2051" l="1"/>
  <c r="AE7" i="2051"/>
  <c r="AE6" i="2051"/>
  <c r="AE23" i="2051"/>
  <c r="AE12" i="2051"/>
  <c r="AE21" i="2051"/>
  <c r="AE16" i="2051"/>
  <c r="AE26" i="2051"/>
  <c r="AE17" i="2051"/>
  <c r="AE27" i="2051"/>
  <c r="AE14" i="2051"/>
  <c r="AE8" i="2051"/>
  <c r="AE22" i="2051"/>
  <c r="AE20" i="2051"/>
  <c r="AE10" i="2051"/>
  <c r="AE19" i="2051"/>
  <c r="AE13" i="2051"/>
  <c r="AE24" i="2051"/>
  <c r="AE15" i="2051"/>
  <c r="AE25" i="2051"/>
  <c r="AE11" i="2051"/>
  <c r="AE9" i="2051"/>
  <c r="AE18" i="2051"/>
  <c r="AD20" i="2050"/>
  <c r="P28" i="2050"/>
  <c r="M28" i="2050"/>
  <c r="AD28" i="2050"/>
  <c r="AB28" i="2050"/>
  <c r="AC28" i="2050"/>
  <c r="K14" i="2049"/>
  <c r="L12" i="2049"/>
  <c r="K12" i="2049" s="1"/>
  <c r="K11" i="2049"/>
  <c r="L8" i="2049"/>
  <c r="L6" i="2049"/>
  <c r="K18" i="2049"/>
  <c r="K17" i="2049"/>
  <c r="K16" i="2049"/>
  <c r="K8" i="2049"/>
  <c r="K6" i="2049"/>
  <c r="A83" i="2049"/>
  <c r="A84" i="2049" s="1"/>
  <c r="A85" i="2049" s="1"/>
  <c r="A86" i="2049" s="1"/>
  <c r="A87" i="2049" s="1"/>
  <c r="A88" i="2049" s="1"/>
  <c r="AF69" i="2049"/>
  <c r="AF67" i="2049"/>
  <c r="AF66" i="2049"/>
  <c r="AA28" i="2049"/>
  <c r="Z28" i="2049"/>
  <c r="Y28" i="2049"/>
  <c r="X28" i="2049"/>
  <c r="W28" i="2049"/>
  <c r="V28" i="2049"/>
  <c r="U28" i="2049"/>
  <c r="T28" i="2049"/>
  <c r="S28" i="2049"/>
  <c r="R28" i="2049"/>
  <c r="N28" i="2049"/>
  <c r="J28" i="2049"/>
  <c r="AF27" i="2049"/>
  <c r="AC27" i="2049"/>
  <c r="AD27" i="2049" s="1"/>
  <c r="AB27" i="2049"/>
  <c r="Q27" i="2049"/>
  <c r="P27" i="2049"/>
  <c r="O27" i="2049"/>
  <c r="M27" i="2049"/>
  <c r="K27" i="2049"/>
  <c r="AF26" i="2049"/>
  <c r="AB26" i="2049"/>
  <c r="Q26" i="2049"/>
  <c r="P26" i="2049"/>
  <c r="AC26" i="2049" s="1"/>
  <c r="AD26" i="2049" s="1"/>
  <c r="O26" i="2049"/>
  <c r="M26" i="2049"/>
  <c r="K26" i="2049"/>
  <c r="AF25" i="2049"/>
  <c r="AB25" i="2049"/>
  <c r="Q25" i="2049"/>
  <c r="P25" i="2049"/>
  <c r="AC25" i="2049" s="1"/>
  <c r="AD25" i="2049" s="1"/>
  <c r="O25" i="2049"/>
  <c r="M25" i="2049"/>
  <c r="K25" i="2049"/>
  <c r="AF24" i="2049"/>
  <c r="AB24" i="2049"/>
  <c r="Q24" i="2049"/>
  <c r="P24" i="2049"/>
  <c r="AC24" i="2049" s="1"/>
  <c r="O24" i="2049"/>
  <c r="M24" i="2049"/>
  <c r="K24" i="2049"/>
  <c r="AF23" i="2049"/>
  <c r="AC23" i="2049"/>
  <c r="AD23" i="2049" s="1"/>
  <c r="AB23" i="2049"/>
  <c r="Q23" i="2049"/>
  <c r="P23" i="2049"/>
  <c r="O23" i="2049"/>
  <c r="M23" i="2049"/>
  <c r="K23" i="2049"/>
  <c r="AF22" i="2049"/>
  <c r="AB22" i="2049"/>
  <c r="Q22" i="2049"/>
  <c r="P22" i="2049"/>
  <c r="AC22" i="2049" s="1"/>
  <c r="O22" i="2049"/>
  <c r="M22" i="2049"/>
  <c r="K22" i="2049"/>
  <c r="AF21" i="2049"/>
  <c r="AB21" i="2049"/>
  <c r="Q21" i="2049"/>
  <c r="P21" i="2049" s="1"/>
  <c r="AC21" i="2049" s="1"/>
  <c r="O21" i="2049"/>
  <c r="M21" i="2049"/>
  <c r="K21" i="2049"/>
  <c r="AF20" i="2049"/>
  <c r="Q20" i="2049"/>
  <c r="O20" i="2049"/>
  <c r="AF19" i="2049"/>
  <c r="AB19" i="2049"/>
  <c r="Q19" i="2049"/>
  <c r="P19" i="2049" s="1"/>
  <c r="AC19" i="2049" s="1"/>
  <c r="O19" i="2049"/>
  <c r="M19" i="2049"/>
  <c r="AF18" i="2049"/>
  <c r="AB18" i="2049"/>
  <c r="Q18" i="2049"/>
  <c r="O18" i="2049"/>
  <c r="M18" i="2049"/>
  <c r="P18" i="2049"/>
  <c r="AC18" i="2049" s="1"/>
  <c r="AF17" i="2049"/>
  <c r="Q17" i="2049"/>
  <c r="O17" i="2049"/>
  <c r="AF16" i="2049"/>
  <c r="Q16" i="2049"/>
  <c r="P16" i="2049"/>
  <c r="AC16" i="2049" s="1"/>
  <c r="AB16" i="2049"/>
  <c r="AF15" i="2049"/>
  <c r="AC15" i="2049"/>
  <c r="AB15" i="2049"/>
  <c r="Q15" i="2049"/>
  <c r="P15" i="2049"/>
  <c r="O15" i="2049"/>
  <c r="M15" i="2049"/>
  <c r="K15" i="2049"/>
  <c r="AF14" i="2049"/>
  <c r="AB14" i="2049"/>
  <c r="Q14" i="2049"/>
  <c r="P14" i="2049" s="1"/>
  <c r="AC14" i="2049" s="1"/>
  <c r="O14" i="2049"/>
  <c r="M14" i="2049"/>
  <c r="AF13" i="2049"/>
  <c r="AC13" i="2049"/>
  <c r="AB13" i="2049"/>
  <c r="Q13" i="2049"/>
  <c r="P13" i="2049"/>
  <c r="O13" i="2049"/>
  <c r="M13" i="2049"/>
  <c r="K13" i="2049"/>
  <c r="I13" i="2049"/>
  <c r="I28" i="2049" s="1"/>
  <c r="AF12" i="2049"/>
  <c r="Q12" i="2049"/>
  <c r="O12" i="2049"/>
  <c r="AF11" i="2049"/>
  <c r="AB11" i="2049"/>
  <c r="Q11" i="2049"/>
  <c r="P11" i="2049" s="1"/>
  <c r="AC11" i="2049" s="1"/>
  <c r="O11" i="2049"/>
  <c r="M11" i="2049"/>
  <c r="AF10" i="2049"/>
  <c r="AB10" i="2049"/>
  <c r="Q10" i="2049"/>
  <c r="P10" i="2049"/>
  <c r="AC10" i="2049" s="1"/>
  <c r="AD10" i="2049" s="1"/>
  <c r="O10" i="2049"/>
  <c r="M10" i="2049"/>
  <c r="K10" i="2049"/>
  <c r="AF9" i="2049"/>
  <c r="AB9" i="2049"/>
  <c r="Q9" i="2049"/>
  <c r="P9" i="2049"/>
  <c r="AC9" i="2049" s="1"/>
  <c r="O9" i="2049"/>
  <c r="M9" i="2049"/>
  <c r="K9" i="2049"/>
  <c r="AF8" i="2049"/>
  <c r="AB8" i="2049"/>
  <c r="Q8" i="2049"/>
  <c r="P8" i="2049"/>
  <c r="AC8" i="2049" s="1"/>
  <c r="O8" i="2049"/>
  <c r="M8" i="2049"/>
  <c r="AF7" i="2049"/>
  <c r="AC7" i="2049"/>
  <c r="AB7" i="2049"/>
  <c r="Q7" i="2049"/>
  <c r="P7" i="2049"/>
  <c r="O7" i="2049"/>
  <c r="M7" i="2049"/>
  <c r="K7" i="2049"/>
  <c r="AF6" i="2049"/>
  <c r="Q6" i="2049"/>
  <c r="P6" i="2049"/>
  <c r="AB6" i="2049"/>
  <c r="AA25" i="16"/>
  <c r="AA24" i="16"/>
  <c r="AA23" i="16"/>
  <c r="AA22" i="16"/>
  <c r="AA21" i="16"/>
  <c r="AA20" i="16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18" i="2048"/>
  <c r="K18" i="2048" s="1"/>
  <c r="L17" i="2048"/>
  <c r="K17" i="2048" s="1"/>
  <c r="L16" i="2048"/>
  <c r="P16" i="2048" s="1"/>
  <c r="AC16" i="2048" s="1"/>
  <c r="K16" i="2048"/>
  <c r="L12" i="2048"/>
  <c r="AB12" i="2048" s="1"/>
  <c r="L8" i="2048"/>
  <c r="K8" i="2048"/>
  <c r="L6" i="2048"/>
  <c r="K6" i="2048" s="1"/>
  <c r="L20" i="2048"/>
  <c r="AB20" i="2048" s="1"/>
  <c r="K20" i="2048"/>
  <c r="K19" i="2048"/>
  <c r="K12" i="2048"/>
  <c r="K11" i="2048"/>
  <c r="K10" i="2048"/>
  <c r="K9" i="2048"/>
  <c r="K7" i="2048"/>
  <c r="A83" i="2048"/>
  <c r="A84" i="2048" s="1"/>
  <c r="A85" i="2048" s="1"/>
  <c r="A86" i="2048" s="1"/>
  <c r="A87" i="2048" s="1"/>
  <c r="A88" i="2048" s="1"/>
  <c r="AF69" i="2048"/>
  <c r="AF67" i="2048"/>
  <c r="AF66" i="2048"/>
  <c r="AA28" i="2048"/>
  <c r="Z28" i="2048"/>
  <c r="Y28" i="2048"/>
  <c r="X28" i="2048"/>
  <c r="W28" i="2048"/>
  <c r="V28" i="2048"/>
  <c r="U28" i="2048"/>
  <c r="T28" i="2048"/>
  <c r="S28" i="2048"/>
  <c r="R28" i="2048"/>
  <c r="N28" i="2048"/>
  <c r="J28" i="2048"/>
  <c r="AF27" i="2048"/>
  <c r="AB27" i="2048"/>
  <c r="Q27" i="2048"/>
  <c r="P27" i="2048"/>
  <c r="AC27" i="2048" s="1"/>
  <c r="AD27" i="2048" s="1"/>
  <c r="O27" i="2048"/>
  <c r="M27" i="2048"/>
  <c r="K27" i="2048"/>
  <c r="AF26" i="2048"/>
  <c r="AB26" i="2048"/>
  <c r="Q26" i="2048"/>
  <c r="P26" i="2048"/>
  <c r="AC26" i="2048" s="1"/>
  <c r="AD26" i="2048" s="1"/>
  <c r="O26" i="2048"/>
  <c r="M26" i="2048"/>
  <c r="K26" i="2048"/>
  <c r="AF25" i="2048"/>
  <c r="AB25" i="2048"/>
  <c r="Q25" i="2048"/>
  <c r="P25" i="2048"/>
  <c r="AC25" i="2048" s="1"/>
  <c r="AD25" i="2048" s="1"/>
  <c r="O25" i="2048"/>
  <c r="M25" i="2048"/>
  <c r="K25" i="2048"/>
  <c r="AF24" i="2048"/>
  <c r="AC24" i="2048"/>
  <c r="AD24" i="2048" s="1"/>
  <c r="AB24" i="2048"/>
  <c r="Q24" i="2048"/>
  <c r="P24" i="2048"/>
  <c r="O24" i="2048"/>
  <c r="M24" i="2048"/>
  <c r="K24" i="2048"/>
  <c r="AF23" i="2048"/>
  <c r="AB23" i="2048"/>
  <c r="Q23" i="2048"/>
  <c r="P23" i="2048"/>
  <c r="AC23" i="2048" s="1"/>
  <c r="AD23" i="2048" s="1"/>
  <c r="O23" i="2048"/>
  <c r="M23" i="2048"/>
  <c r="K23" i="2048"/>
  <c r="AF22" i="2048"/>
  <c r="AC22" i="2048"/>
  <c r="AD22" i="2048" s="1"/>
  <c r="AB22" i="2048"/>
  <c r="Q22" i="2048"/>
  <c r="P22" i="2048"/>
  <c r="O22" i="2048"/>
  <c r="M22" i="2048"/>
  <c r="K22" i="2048"/>
  <c r="AF21" i="2048"/>
  <c r="AB21" i="2048"/>
  <c r="Q21" i="2048"/>
  <c r="P21" i="2048"/>
  <c r="AC21" i="2048" s="1"/>
  <c r="AD21" i="2048" s="1"/>
  <c r="O21" i="2048"/>
  <c r="M21" i="2048"/>
  <c r="K21" i="2048"/>
  <c r="AF20" i="2048"/>
  <c r="Q20" i="2048"/>
  <c r="O20" i="2048"/>
  <c r="M20" i="2048"/>
  <c r="AF19" i="2048"/>
  <c r="AB19" i="2048"/>
  <c r="Q19" i="2048"/>
  <c r="M19" i="2048"/>
  <c r="P19" i="2048"/>
  <c r="AC19" i="2048" s="1"/>
  <c r="AF18" i="2048"/>
  <c r="Q18" i="2048"/>
  <c r="AF17" i="2048"/>
  <c r="Q17" i="2048"/>
  <c r="P17" i="2048"/>
  <c r="AC17" i="2048" s="1"/>
  <c r="O17" i="2048"/>
  <c r="AB17" i="2048"/>
  <c r="AF16" i="2048"/>
  <c r="AB16" i="2048"/>
  <c r="Q16" i="2048"/>
  <c r="O16" i="2048"/>
  <c r="M16" i="2048"/>
  <c r="AF15" i="2048"/>
  <c r="AB15" i="2048"/>
  <c r="Q15" i="2048"/>
  <c r="P15" i="2048"/>
  <c r="AC15" i="2048" s="1"/>
  <c r="O15" i="2048"/>
  <c r="M15" i="2048"/>
  <c r="K15" i="2048"/>
  <c r="AF14" i="2048"/>
  <c r="AB14" i="2048"/>
  <c r="Q14" i="2048"/>
  <c r="P14" i="2048" s="1"/>
  <c r="AC14" i="2048" s="1"/>
  <c r="O14" i="2048"/>
  <c r="M14" i="2048"/>
  <c r="K14" i="2048"/>
  <c r="AF13" i="2048"/>
  <c r="AB13" i="2048"/>
  <c r="Q13" i="2048"/>
  <c r="P13" i="2048"/>
  <c r="AC13" i="2048" s="1"/>
  <c r="O13" i="2048"/>
  <c r="M13" i="2048"/>
  <c r="K13" i="2048"/>
  <c r="I13" i="2048"/>
  <c r="I28" i="2048" s="1"/>
  <c r="AF12" i="2048"/>
  <c r="Q12" i="2048"/>
  <c r="P12" i="2048" s="1"/>
  <c r="AC12" i="2048" s="1"/>
  <c r="O12" i="2048"/>
  <c r="AF11" i="2048"/>
  <c r="AB11" i="2048"/>
  <c r="Q11" i="2048"/>
  <c r="P11" i="2048"/>
  <c r="AC11" i="2048" s="1"/>
  <c r="AD11" i="2048" s="1"/>
  <c r="O11" i="2048"/>
  <c r="M11" i="2048"/>
  <c r="AF10" i="2048"/>
  <c r="AB10" i="2048"/>
  <c r="Q10" i="2048"/>
  <c r="M10" i="2048"/>
  <c r="P10" i="2048"/>
  <c r="AC10" i="2048" s="1"/>
  <c r="AF9" i="2048"/>
  <c r="Q9" i="2048"/>
  <c r="P9" i="2048"/>
  <c r="AC9" i="2048" s="1"/>
  <c r="AF8" i="2048"/>
  <c r="AB8" i="2048"/>
  <c r="Q8" i="2048"/>
  <c r="P8" i="2048" s="1"/>
  <c r="AC8" i="2048" s="1"/>
  <c r="O8" i="2048"/>
  <c r="M8" i="2048"/>
  <c r="AF7" i="2048"/>
  <c r="AB7" i="2048"/>
  <c r="Q7" i="2048"/>
  <c r="P7" i="2048" s="1"/>
  <c r="AC7" i="2048" s="1"/>
  <c r="O7" i="2048"/>
  <c r="M7" i="2048"/>
  <c r="AF6" i="2048"/>
  <c r="Q6" i="2048"/>
  <c r="P6" i="2048"/>
  <c r="AC6" i="2048" s="1"/>
  <c r="AB6" i="2048"/>
  <c r="Z25" i="16"/>
  <c r="Z24" i="16"/>
  <c r="Z23" i="16"/>
  <c r="Z22" i="16"/>
  <c r="Z21" i="16"/>
  <c r="Z20" i="16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0" i="2047"/>
  <c r="L19" i="2047"/>
  <c r="L18" i="2047"/>
  <c r="K18" i="2047" s="1"/>
  <c r="L17" i="2047"/>
  <c r="O17" i="2047" s="1"/>
  <c r="L12" i="2047"/>
  <c r="K12" i="2047" s="1"/>
  <c r="L11" i="2047"/>
  <c r="AB11" i="2047" s="1"/>
  <c r="L10" i="2047"/>
  <c r="K10" i="2047" s="1"/>
  <c r="L9" i="2047"/>
  <c r="K7" i="2047"/>
  <c r="L6" i="2047"/>
  <c r="K20" i="2047"/>
  <c r="K19" i="2047"/>
  <c r="K16" i="2047"/>
  <c r="K9" i="2047"/>
  <c r="K6" i="2047"/>
  <c r="A83" i="2047"/>
  <c r="A84" i="2047" s="1"/>
  <c r="A85" i="2047" s="1"/>
  <c r="A86" i="2047" s="1"/>
  <c r="A87" i="2047" s="1"/>
  <c r="A88" i="2047" s="1"/>
  <c r="AF69" i="2047"/>
  <c r="AF67" i="2047"/>
  <c r="AF66" i="2047"/>
  <c r="AA28" i="2047"/>
  <c r="Z28" i="2047"/>
  <c r="Y28" i="2047"/>
  <c r="X28" i="2047"/>
  <c r="W28" i="2047"/>
  <c r="V28" i="2047"/>
  <c r="U28" i="2047"/>
  <c r="T28" i="2047"/>
  <c r="S28" i="2047"/>
  <c r="R28" i="2047"/>
  <c r="N28" i="2047"/>
  <c r="J28" i="2047"/>
  <c r="AF27" i="2047"/>
  <c r="AB27" i="2047"/>
  <c r="Q27" i="2047"/>
  <c r="P27" i="2047"/>
  <c r="AC27" i="2047" s="1"/>
  <c r="AD27" i="2047" s="1"/>
  <c r="O27" i="2047"/>
  <c r="M27" i="2047"/>
  <c r="K27" i="2047"/>
  <c r="AF26" i="2047"/>
  <c r="AB26" i="2047"/>
  <c r="Q26" i="2047"/>
  <c r="P26" i="2047"/>
  <c r="AC26" i="2047" s="1"/>
  <c r="AD26" i="2047" s="1"/>
  <c r="O26" i="2047"/>
  <c r="M26" i="2047"/>
  <c r="K26" i="2047"/>
  <c r="AF25" i="2047"/>
  <c r="AC25" i="2047"/>
  <c r="AD25" i="2047" s="1"/>
  <c r="AB25" i="2047"/>
  <c r="Q25" i="2047"/>
  <c r="P25" i="2047"/>
  <c r="O25" i="2047"/>
  <c r="M25" i="2047"/>
  <c r="K25" i="2047"/>
  <c r="AF24" i="2047"/>
  <c r="AB24" i="2047"/>
  <c r="Q24" i="2047"/>
  <c r="P24" i="2047"/>
  <c r="AC24" i="2047" s="1"/>
  <c r="AD24" i="2047" s="1"/>
  <c r="O24" i="2047"/>
  <c r="M24" i="2047"/>
  <c r="K24" i="2047"/>
  <c r="AF23" i="2047"/>
  <c r="AC23" i="2047"/>
  <c r="AD23" i="2047" s="1"/>
  <c r="AB23" i="2047"/>
  <c r="Q23" i="2047"/>
  <c r="P23" i="2047"/>
  <c r="O23" i="2047"/>
  <c r="M23" i="2047"/>
  <c r="K23" i="2047"/>
  <c r="AF22" i="2047"/>
  <c r="AB22" i="2047"/>
  <c r="Q22" i="2047"/>
  <c r="P22" i="2047"/>
  <c r="AC22" i="2047" s="1"/>
  <c r="AD22" i="2047" s="1"/>
  <c r="O22" i="2047"/>
  <c r="M22" i="2047"/>
  <c r="K22" i="2047"/>
  <c r="AF21" i="2047"/>
  <c r="AC21" i="2047"/>
  <c r="AD21" i="2047" s="1"/>
  <c r="AB21" i="2047"/>
  <c r="Q21" i="2047"/>
  <c r="P21" i="2047"/>
  <c r="O21" i="2047"/>
  <c r="M21" i="2047"/>
  <c r="K21" i="2047"/>
  <c r="AF20" i="2047"/>
  <c r="Q20" i="2047"/>
  <c r="O20" i="2047"/>
  <c r="AF19" i="2047"/>
  <c r="Q19" i="2047"/>
  <c r="P19" i="2047"/>
  <c r="AC19" i="2047" s="1"/>
  <c r="AB19" i="2047"/>
  <c r="AF18" i="2047"/>
  <c r="Q18" i="2047"/>
  <c r="P18" i="2047" s="1"/>
  <c r="AC18" i="2047" s="1"/>
  <c r="O18" i="2047"/>
  <c r="AF17" i="2047"/>
  <c r="Q17" i="2047"/>
  <c r="AF16" i="2047"/>
  <c r="AB16" i="2047"/>
  <c r="Q16" i="2047"/>
  <c r="P16" i="2047"/>
  <c r="AC16" i="2047" s="1"/>
  <c r="O16" i="2047"/>
  <c r="M16" i="2047"/>
  <c r="AF15" i="2047"/>
  <c r="AC15" i="2047"/>
  <c r="AB15" i="2047"/>
  <c r="Q15" i="2047"/>
  <c r="P15" i="2047"/>
  <c r="O15" i="2047"/>
  <c r="M15" i="2047"/>
  <c r="K15" i="2047"/>
  <c r="AF14" i="2047"/>
  <c r="AB14" i="2047"/>
  <c r="Q14" i="2047"/>
  <c r="P14" i="2047"/>
  <c r="AC14" i="2047" s="1"/>
  <c r="O14" i="2047"/>
  <c r="M14" i="2047"/>
  <c r="K14" i="2047"/>
  <c r="AF13" i="2047"/>
  <c r="AB13" i="2047"/>
  <c r="Q13" i="2047"/>
  <c r="P13" i="2047"/>
  <c r="AC13" i="2047" s="1"/>
  <c r="AD13" i="2047" s="1"/>
  <c r="O13" i="2047"/>
  <c r="M13" i="2047"/>
  <c r="K13" i="2047"/>
  <c r="I13" i="2047"/>
  <c r="I28" i="2047" s="1"/>
  <c r="AF12" i="2047"/>
  <c r="Q12" i="2047"/>
  <c r="O12" i="2047"/>
  <c r="AF11" i="2047"/>
  <c r="Q11" i="2047"/>
  <c r="P11" i="2047" s="1"/>
  <c r="AC11" i="2047" s="1"/>
  <c r="AF10" i="2047"/>
  <c r="AB10" i="2047"/>
  <c r="Q10" i="2047"/>
  <c r="P10" i="2047" s="1"/>
  <c r="AC10" i="2047" s="1"/>
  <c r="AD10" i="2047" s="1"/>
  <c r="O10" i="2047"/>
  <c r="M10" i="2047"/>
  <c r="AF9" i="2047"/>
  <c r="AB9" i="2047"/>
  <c r="Q9" i="2047"/>
  <c r="P9" i="2047" s="1"/>
  <c r="AC9" i="2047" s="1"/>
  <c r="O9" i="2047"/>
  <c r="M9" i="2047"/>
  <c r="AF8" i="2047"/>
  <c r="AC8" i="2047"/>
  <c r="AB8" i="2047"/>
  <c r="Q8" i="2047"/>
  <c r="P8" i="2047"/>
  <c r="O8" i="2047"/>
  <c r="M8" i="2047"/>
  <c r="K8" i="2047"/>
  <c r="AF7" i="2047"/>
  <c r="Q7" i="2047"/>
  <c r="O7" i="2047"/>
  <c r="AF6" i="2047"/>
  <c r="Q6" i="2047"/>
  <c r="AB6" i="2047"/>
  <c r="Y25" i="16"/>
  <c r="Y24" i="16"/>
  <c r="Y23" i="16"/>
  <c r="Y22" i="16"/>
  <c r="Y21" i="16"/>
  <c r="Y20" i="16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2046"/>
  <c r="K20" i="2046" s="1"/>
  <c r="L19" i="2046"/>
  <c r="AB19" i="2046" s="1"/>
  <c r="K19" i="2046"/>
  <c r="L17" i="2046"/>
  <c r="K16" i="2046"/>
  <c r="K14" i="2046"/>
  <c r="I13" i="2046"/>
  <c r="L12" i="2046"/>
  <c r="K12" i="2046"/>
  <c r="L11" i="2046"/>
  <c r="K9" i="2046"/>
  <c r="L7" i="2046"/>
  <c r="K7" i="2046" s="1"/>
  <c r="L6" i="2046"/>
  <c r="K21" i="2046"/>
  <c r="K17" i="2046"/>
  <c r="K13" i="2046"/>
  <c r="K11" i="2046"/>
  <c r="K10" i="2046"/>
  <c r="K6" i="2046"/>
  <c r="A83" i="2046"/>
  <c r="A84" i="2046" s="1"/>
  <c r="A85" i="2046" s="1"/>
  <c r="A86" i="2046" s="1"/>
  <c r="A87" i="2046" s="1"/>
  <c r="A88" i="2046" s="1"/>
  <c r="AF67" i="2046"/>
  <c r="AF69" i="2046" s="1"/>
  <c r="AF66" i="2046"/>
  <c r="AA28" i="2046"/>
  <c r="Z28" i="2046"/>
  <c r="Y28" i="2046"/>
  <c r="X28" i="2046"/>
  <c r="W28" i="2046"/>
  <c r="V28" i="2046"/>
  <c r="U28" i="2046"/>
  <c r="T28" i="2046"/>
  <c r="S28" i="2046"/>
  <c r="R28" i="2046"/>
  <c r="N28" i="2046"/>
  <c r="J28" i="2046"/>
  <c r="I28" i="2046"/>
  <c r="AF27" i="2046"/>
  <c r="AB27" i="2046"/>
  <c r="Q27" i="2046"/>
  <c r="P27" i="2046"/>
  <c r="AC27" i="2046" s="1"/>
  <c r="AD27" i="2046" s="1"/>
  <c r="O27" i="2046"/>
  <c r="M27" i="2046"/>
  <c r="K27" i="2046"/>
  <c r="AF26" i="2046"/>
  <c r="AB26" i="2046"/>
  <c r="Q26" i="2046"/>
  <c r="P26" i="2046"/>
  <c r="AC26" i="2046" s="1"/>
  <c r="AD26" i="2046" s="1"/>
  <c r="O26" i="2046"/>
  <c r="M26" i="2046"/>
  <c r="K26" i="2046"/>
  <c r="AF25" i="2046"/>
  <c r="AB25" i="2046"/>
  <c r="Q25" i="2046"/>
  <c r="P25" i="2046"/>
  <c r="AC25" i="2046" s="1"/>
  <c r="AD25" i="2046" s="1"/>
  <c r="O25" i="2046"/>
  <c r="M25" i="2046"/>
  <c r="K25" i="2046"/>
  <c r="AF24" i="2046"/>
  <c r="AB24" i="2046"/>
  <c r="Q24" i="2046"/>
  <c r="P24" i="2046"/>
  <c r="AC24" i="2046" s="1"/>
  <c r="AD24" i="2046" s="1"/>
  <c r="O24" i="2046"/>
  <c r="M24" i="2046"/>
  <c r="K24" i="2046"/>
  <c r="AF23" i="2046"/>
  <c r="AB23" i="2046"/>
  <c r="Q23" i="2046"/>
  <c r="P23" i="2046"/>
  <c r="AC23" i="2046" s="1"/>
  <c r="AD23" i="2046" s="1"/>
  <c r="O23" i="2046"/>
  <c r="M23" i="2046"/>
  <c r="K23" i="2046"/>
  <c r="AF22" i="2046"/>
  <c r="AB22" i="2046"/>
  <c r="Q22" i="2046"/>
  <c r="P22" i="2046"/>
  <c r="AC22" i="2046" s="1"/>
  <c r="AD22" i="2046" s="1"/>
  <c r="O22" i="2046"/>
  <c r="M22" i="2046"/>
  <c r="K22" i="2046"/>
  <c r="AF21" i="2046"/>
  <c r="AB21" i="2046"/>
  <c r="Q21" i="2046"/>
  <c r="P21" i="2046"/>
  <c r="AC21" i="2046" s="1"/>
  <c r="O21" i="2046"/>
  <c r="M21" i="2046"/>
  <c r="AF20" i="2046"/>
  <c r="AB20" i="2046"/>
  <c r="Q20" i="2046"/>
  <c r="O20" i="2046"/>
  <c r="M20" i="2046"/>
  <c r="P20" i="2046"/>
  <c r="AC20" i="2046" s="1"/>
  <c r="AF19" i="2046"/>
  <c r="Q19" i="2046"/>
  <c r="P19" i="2046" s="1"/>
  <c r="AC19" i="2046" s="1"/>
  <c r="O19" i="2046"/>
  <c r="M19" i="2046"/>
  <c r="AF18" i="2046"/>
  <c r="AB18" i="2046"/>
  <c r="Q18" i="2046"/>
  <c r="P18" i="2046" s="1"/>
  <c r="AC18" i="2046" s="1"/>
  <c r="O18" i="2046"/>
  <c r="M18" i="2046"/>
  <c r="K18" i="2046"/>
  <c r="AF17" i="2046"/>
  <c r="AB17" i="2046"/>
  <c r="Q17" i="2046"/>
  <c r="M17" i="2046"/>
  <c r="O17" i="2046"/>
  <c r="AF16" i="2046"/>
  <c r="AB16" i="2046"/>
  <c r="Q16" i="2046"/>
  <c r="P16" i="2046" s="1"/>
  <c r="AC16" i="2046" s="1"/>
  <c r="O16" i="2046"/>
  <c r="M16" i="2046"/>
  <c r="AF15" i="2046"/>
  <c r="AC15" i="2046"/>
  <c r="AB15" i="2046"/>
  <c r="Q15" i="2046"/>
  <c r="P15" i="2046"/>
  <c r="O15" i="2046"/>
  <c r="M15" i="2046"/>
  <c r="K15" i="2046"/>
  <c r="AF14" i="2046"/>
  <c r="AB14" i="2046"/>
  <c r="Q14" i="2046"/>
  <c r="P14" i="2046"/>
  <c r="AC14" i="2046" s="1"/>
  <c r="AD14" i="2046" s="1"/>
  <c r="O14" i="2046"/>
  <c r="M14" i="2046"/>
  <c r="AF13" i="2046"/>
  <c r="AB13" i="2046"/>
  <c r="Q13" i="2046"/>
  <c r="O13" i="2046"/>
  <c r="M13" i="2046"/>
  <c r="P13" i="2046"/>
  <c r="AC13" i="2046" s="1"/>
  <c r="AD13" i="2046" s="1"/>
  <c r="AF12" i="2046"/>
  <c r="AB12" i="2046"/>
  <c r="Q12" i="2046"/>
  <c r="P12" i="2046" s="1"/>
  <c r="AC12" i="2046" s="1"/>
  <c r="O12" i="2046"/>
  <c r="M12" i="2046"/>
  <c r="AF11" i="2046"/>
  <c r="AB11" i="2046"/>
  <c r="Q11" i="2046"/>
  <c r="P11" i="2046"/>
  <c r="AC11" i="2046" s="1"/>
  <c r="O11" i="2046"/>
  <c r="M11" i="2046"/>
  <c r="AF10" i="2046"/>
  <c r="AB10" i="2046"/>
  <c r="Q10" i="2046"/>
  <c r="O10" i="2046"/>
  <c r="M10" i="2046"/>
  <c r="P10" i="2046"/>
  <c r="AC10" i="2046" s="1"/>
  <c r="AD10" i="2046" s="1"/>
  <c r="AF9" i="2046"/>
  <c r="AB9" i="2046"/>
  <c r="Q9" i="2046"/>
  <c r="M9" i="2046"/>
  <c r="O9" i="2046"/>
  <c r="AF8" i="2046"/>
  <c r="AB8" i="2046"/>
  <c r="Q8" i="2046"/>
  <c r="P8" i="2046"/>
  <c r="AC8" i="2046" s="1"/>
  <c r="O8" i="2046"/>
  <c r="M8" i="2046"/>
  <c r="K8" i="2046"/>
  <c r="AF7" i="2046"/>
  <c r="AB7" i="2046"/>
  <c r="Q7" i="2046"/>
  <c r="P7" i="2046" s="1"/>
  <c r="AC7" i="2046" s="1"/>
  <c r="O7" i="2046"/>
  <c r="M7" i="2046"/>
  <c r="AF6" i="2046"/>
  <c r="Q6" i="2046"/>
  <c r="AB6" i="2046"/>
  <c r="X25" i="16"/>
  <c r="X24" i="16"/>
  <c r="X23" i="16"/>
  <c r="X22" i="16"/>
  <c r="X21" i="16"/>
  <c r="X20" i="16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6" i="2045"/>
  <c r="K6" i="2045" s="1"/>
  <c r="L9" i="2045"/>
  <c r="K9" i="2045" s="1"/>
  <c r="L10" i="2045"/>
  <c r="M10" i="2045" s="1"/>
  <c r="L11" i="2045"/>
  <c r="P11" i="2045" s="1"/>
  <c r="AC11" i="2045" s="1"/>
  <c r="L13" i="2045"/>
  <c r="K13" i="2045" s="1"/>
  <c r="L17" i="2045"/>
  <c r="K17" i="2045" s="1"/>
  <c r="L20" i="2045"/>
  <c r="L21" i="2045"/>
  <c r="L21" i="2044"/>
  <c r="K18" i="2045"/>
  <c r="K10" i="2045"/>
  <c r="K8" i="2045"/>
  <c r="A83" i="2045"/>
  <c r="A84" i="2045" s="1"/>
  <c r="A85" i="2045" s="1"/>
  <c r="A86" i="2045" s="1"/>
  <c r="A87" i="2045" s="1"/>
  <c r="A88" i="2045" s="1"/>
  <c r="AF69" i="2045"/>
  <c r="AF67" i="2045"/>
  <c r="AF66" i="2045"/>
  <c r="AA28" i="2045"/>
  <c r="Z28" i="2045"/>
  <c r="Y28" i="2045"/>
  <c r="X28" i="2045"/>
  <c r="W28" i="2045"/>
  <c r="V28" i="2045"/>
  <c r="U28" i="2045"/>
  <c r="T28" i="2045"/>
  <c r="S28" i="2045"/>
  <c r="R28" i="2045"/>
  <c r="N28" i="2045"/>
  <c r="J28" i="2045"/>
  <c r="I28" i="2045"/>
  <c r="AF27" i="2045"/>
  <c r="AB27" i="2045"/>
  <c r="Q27" i="2045"/>
  <c r="P27" i="2045"/>
  <c r="AC27" i="2045" s="1"/>
  <c r="AD27" i="2045" s="1"/>
  <c r="O27" i="2045"/>
  <c r="M27" i="2045"/>
  <c r="K27" i="2045"/>
  <c r="AF26" i="2045"/>
  <c r="AC26" i="2045"/>
  <c r="AD26" i="2045" s="1"/>
  <c r="AB26" i="2045"/>
  <c r="Q26" i="2045"/>
  <c r="P26" i="2045"/>
  <c r="O26" i="2045"/>
  <c r="M26" i="2045"/>
  <c r="K26" i="2045"/>
  <c r="AF25" i="2045"/>
  <c r="AB25" i="2045"/>
  <c r="Q25" i="2045"/>
  <c r="P25" i="2045"/>
  <c r="AC25" i="2045" s="1"/>
  <c r="AD25" i="2045" s="1"/>
  <c r="O25" i="2045"/>
  <c r="M25" i="2045"/>
  <c r="K25" i="2045"/>
  <c r="AF24" i="2045"/>
  <c r="AC24" i="2045"/>
  <c r="AD24" i="2045" s="1"/>
  <c r="AB24" i="2045"/>
  <c r="Q24" i="2045"/>
  <c r="P24" i="2045"/>
  <c r="O24" i="2045"/>
  <c r="M24" i="2045"/>
  <c r="K24" i="2045"/>
  <c r="AF23" i="2045"/>
  <c r="AB23" i="2045"/>
  <c r="Q23" i="2045"/>
  <c r="P23" i="2045"/>
  <c r="AC23" i="2045" s="1"/>
  <c r="AD23" i="2045" s="1"/>
  <c r="O23" i="2045"/>
  <c r="M23" i="2045"/>
  <c r="K23" i="2045"/>
  <c r="AF22" i="2045"/>
  <c r="AC22" i="2045"/>
  <c r="AD22" i="2045" s="1"/>
  <c r="AB22" i="2045"/>
  <c r="Q22" i="2045"/>
  <c r="P22" i="2045"/>
  <c r="O22" i="2045"/>
  <c r="M22" i="2045"/>
  <c r="K22" i="2045"/>
  <c r="AF21" i="2045"/>
  <c r="AB21" i="2045"/>
  <c r="Q21" i="2045"/>
  <c r="P21" i="2045"/>
  <c r="AC21" i="2045" s="1"/>
  <c r="O21" i="2045"/>
  <c r="M21" i="2045"/>
  <c r="K21" i="2045"/>
  <c r="AF20" i="2045"/>
  <c r="AB20" i="2045"/>
  <c r="Q20" i="2045"/>
  <c r="P20" i="2045"/>
  <c r="AC20" i="2045" s="1"/>
  <c r="AD20" i="2045" s="1"/>
  <c r="O20" i="2045"/>
  <c r="M20" i="2045"/>
  <c r="K20" i="2045"/>
  <c r="AF19" i="2045"/>
  <c r="AB19" i="2045"/>
  <c r="Q19" i="2045"/>
  <c r="P19" i="2045"/>
  <c r="AC19" i="2045" s="1"/>
  <c r="O19" i="2045"/>
  <c r="M19" i="2045"/>
  <c r="K19" i="2045"/>
  <c r="AF18" i="2045"/>
  <c r="AB18" i="2045"/>
  <c r="Q18" i="2045"/>
  <c r="M18" i="2045"/>
  <c r="O18" i="2045"/>
  <c r="AF17" i="2045"/>
  <c r="Q17" i="2045"/>
  <c r="AB17" i="2045"/>
  <c r="AF16" i="2045"/>
  <c r="AB16" i="2045"/>
  <c r="Q16" i="2045"/>
  <c r="P16" i="2045"/>
  <c r="AC16" i="2045" s="1"/>
  <c r="O16" i="2045"/>
  <c r="M16" i="2045"/>
  <c r="K16" i="2045"/>
  <c r="AF15" i="2045"/>
  <c r="AB15" i="2045"/>
  <c r="Q15" i="2045"/>
  <c r="P15" i="2045"/>
  <c r="AC15" i="2045" s="1"/>
  <c r="AD15" i="2045" s="1"/>
  <c r="O15" i="2045"/>
  <c r="M15" i="2045"/>
  <c r="K15" i="2045"/>
  <c r="AF14" i="2045"/>
  <c r="AB14" i="2045"/>
  <c r="Q14" i="2045"/>
  <c r="P14" i="2045"/>
  <c r="AC14" i="2045" s="1"/>
  <c r="AD14" i="2045" s="1"/>
  <c r="O14" i="2045"/>
  <c r="M14" i="2045"/>
  <c r="K14" i="2045"/>
  <c r="AF13" i="2045"/>
  <c r="Q13" i="2045"/>
  <c r="AF12" i="2045"/>
  <c r="AB12" i="2045"/>
  <c r="Q12" i="2045"/>
  <c r="P12" i="2045"/>
  <c r="AC12" i="2045" s="1"/>
  <c r="AD12" i="2045" s="1"/>
  <c r="O12" i="2045"/>
  <c r="M12" i="2045"/>
  <c r="K12" i="2045"/>
  <c r="AF11" i="2045"/>
  <c r="AB11" i="2045"/>
  <c r="Q11" i="2045"/>
  <c r="M11" i="2045"/>
  <c r="AF10" i="2045"/>
  <c r="AB10" i="2045"/>
  <c r="Q10" i="2045"/>
  <c r="AF9" i="2045"/>
  <c r="AB9" i="2045"/>
  <c r="Q9" i="2045"/>
  <c r="P9" i="2045" s="1"/>
  <c r="AC9" i="2045" s="1"/>
  <c r="O9" i="2045"/>
  <c r="M9" i="2045"/>
  <c r="AF8" i="2045"/>
  <c r="AB8" i="2045"/>
  <c r="Q8" i="2045"/>
  <c r="P8" i="2045"/>
  <c r="AC8" i="2045" s="1"/>
  <c r="AD8" i="2045" s="1"/>
  <c r="O8" i="2045"/>
  <c r="M8" i="2045"/>
  <c r="AF7" i="2045"/>
  <c r="AC7" i="2045"/>
  <c r="AD7" i="2045" s="1"/>
  <c r="AB7" i="2045"/>
  <c r="Q7" i="2045"/>
  <c r="P7" i="2045"/>
  <c r="O7" i="2045"/>
  <c r="M7" i="2045"/>
  <c r="K7" i="2045"/>
  <c r="AF6" i="2045"/>
  <c r="AB6" i="2045"/>
  <c r="Q6" i="2045"/>
  <c r="P6" i="2045" s="1"/>
  <c r="AC6" i="2045" s="1"/>
  <c r="O6" i="2045"/>
  <c r="M6" i="2045"/>
  <c r="W24" i="16"/>
  <c r="W23" i="16"/>
  <c r="W22" i="16"/>
  <c r="W21" i="16"/>
  <c r="W20" i="16"/>
  <c r="W19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18" i="2044"/>
  <c r="K18" i="2044" s="1"/>
  <c r="L17" i="2044"/>
  <c r="K17" i="2044" s="1"/>
  <c r="L13" i="2044"/>
  <c r="K13" i="2044" s="1"/>
  <c r="L11" i="2044"/>
  <c r="L10" i="2044"/>
  <c r="L8" i="2044"/>
  <c r="K27" i="2044"/>
  <c r="K21" i="2044"/>
  <c r="K20" i="2044"/>
  <c r="K19" i="2044"/>
  <c r="K11" i="2044"/>
  <c r="K10" i="2044"/>
  <c r="K8" i="2044"/>
  <c r="A85" i="2044"/>
  <c r="A86" i="2044" s="1"/>
  <c r="A87" i="2044" s="1"/>
  <c r="A88" i="2044" s="1"/>
  <c r="A84" i="2044"/>
  <c r="A83" i="2044"/>
  <c r="AF67" i="2044"/>
  <c r="AF66" i="2044"/>
  <c r="AF69" i="2044" s="1"/>
  <c r="AA28" i="2044"/>
  <c r="Z28" i="2044"/>
  <c r="Y28" i="2044"/>
  <c r="X28" i="2044"/>
  <c r="W28" i="2044"/>
  <c r="V28" i="2044"/>
  <c r="U28" i="2044"/>
  <c r="T28" i="2044"/>
  <c r="S28" i="2044"/>
  <c r="R28" i="2044"/>
  <c r="N28" i="2044"/>
  <c r="J28" i="2044"/>
  <c r="I28" i="2044"/>
  <c r="AF27" i="2044"/>
  <c r="AB27" i="2044"/>
  <c r="Q27" i="2044"/>
  <c r="M27" i="2044"/>
  <c r="P27" i="2044"/>
  <c r="AC27" i="2044" s="1"/>
  <c r="AF26" i="2044"/>
  <c r="AB26" i="2044"/>
  <c r="Q26" i="2044"/>
  <c r="P26" i="2044"/>
  <c r="AC26" i="2044" s="1"/>
  <c r="AD26" i="2044" s="1"/>
  <c r="O26" i="2044"/>
  <c r="M26" i="2044"/>
  <c r="K26" i="2044"/>
  <c r="AF25" i="2044"/>
  <c r="AB25" i="2044"/>
  <c r="Q25" i="2044"/>
  <c r="P25" i="2044"/>
  <c r="AC25" i="2044" s="1"/>
  <c r="O25" i="2044"/>
  <c r="M25" i="2044"/>
  <c r="K25" i="2044"/>
  <c r="AF24" i="2044"/>
  <c r="AC24" i="2044"/>
  <c r="AD24" i="2044" s="1"/>
  <c r="AB24" i="2044"/>
  <c r="Q24" i="2044"/>
  <c r="P24" i="2044"/>
  <c r="O24" i="2044"/>
  <c r="M24" i="2044"/>
  <c r="K24" i="2044"/>
  <c r="AF23" i="2044"/>
  <c r="AB23" i="2044"/>
  <c r="Q23" i="2044"/>
  <c r="P23" i="2044"/>
  <c r="AC23" i="2044" s="1"/>
  <c r="O23" i="2044"/>
  <c r="M23" i="2044"/>
  <c r="K23" i="2044"/>
  <c r="AF22" i="2044"/>
  <c r="AC22" i="2044"/>
  <c r="AB22" i="2044"/>
  <c r="Q22" i="2044"/>
  <c r="P22" i="2044"/>
  <c r="O22" i="2044"/>
  <c r="M22" i="2044"/>
  <c r="K22" i="2044"/>
  <c r="AF21" i="2044"/>
  <c r="Q21" i="2044"/>
  <c r="M21" i="2044"/>
  <c r="AF20" i="2044"/>
  <c r="Q20" i="2044"/>
  <c r="P20" i="2044"/>
  <c r="AC20" i="2044" s="1"/>
  <c r="O20" i="2044"/>
  <c r="AB20" i="2044"/>
  <c r="AF19" i="2044"/>
  <c r="AB19" i="2044"/>
  <c r="Q19" i="2044"/>
  <c r="P19" i="2044"/>
  <c r="AC19" i="2044" s="1"/>
  <c r="O19" i="2044"/>
  <c r="M19" i="2044"/>
  <c r="AF18" i="2044"/>
  <c r="AB18" i="2044"/>
  <c r="Q18" i="2044"/>
  <c r="M18" i="2044"/>
  <c r="O18" i="2044"/>
  <c r="AF17" i="2044"/>
  <c r="AB17" i="2044"/>
  <c r="Q17" i="2044"/>
  <c r="P17" i="2044" s="1"/>
  <c r="AC17" i="2044" s="1"/>
  <c r="O17" i="2044"/>
  <c r="M17" i="2044"/>
  <c r="AF16" i="2044"/>
  <c r="AC16" i="2044"/>
  <c r="AB16" i="2044"/>
  <c r="Q16" i="2044"/>
  <c r="P16" i="2044"/>
  <c r="O16" i="2044"/>
  <c r="M16" i="2044"/>
  <c r="K16" i="2044"/>
  <c r="AF15" i="2044"/>
  <c r="AB15" i="2044"/>
  <c r="Q15" i="2044"/>
  <c r="P15" i="2044"/>
  <c r="AC15" i="2044" s="1"/>
  <c r="AD15" i="2044" s="1"/>
  <c r="O15" i="2044"/>
  <c r="M15" i="2044"/>
  <c r="K15" i="2044"/>
  <c r="AF14" i="2044"/>
  <c r="AB14" i="2044"/>
  <c r="Q14" i="2044"/>
  <c r="P14" i="2044"/>
  <c r="AC14" i="2044" s="1"/>
  <c r="AD14" i="2044" s="1"/>
  <c r="O14" i="2044"/>
  <c r="M14" i="2044"/>
  <c r="K14" i="2044"/>
  <c r="AF13" i="2044"/>
  <c r="Q13" i="2044"/>
  <c r="AB13" i="2044"/>
  <c r="AF12" i="2044"/>
  <c r="AB12" i="2044"/>
  <c r="Q12" i="2044"/>
  <c r="P12" i="2044"/>
  <c r="AC12" i="2044" s="1"/>
  <c r="O12" i="2044"/>
  <c r="M12" i="2044"/>
  <c r="K12" i="2044"/>
  <c r="AF11" i="2044"/>
  <c r="AB11" i="2044"/>
  <c r="Q11" i="2044"/>
  <c r="M11" i="2044"/>
  <c r="O11" i="2044"/>
  <c r="AF10" i="2044"/>
  <c r="Q10" i="2044"/>
  <c r="AB10" i="2044"/>
  <c r="AF9" i="2044"/>
  <c r="AB9" i="2044"/>
  <c r="Q9" i="2044"/>
  <c r="P9" i="2044"/>
  <c r="AC9" i="2044" s="1"/>
  <c r="O9" i="2044"/>
  <c r="M9" i="2044"/>
  <c r="K9" i="2044"/>
  <c r="AF8" i="2044"/>
  <c r="AB8" i="2044"/>
  <c r="Q8" i="2044"/>
  <c r="M8" i="2044"/>
  <c r="AF7" i="2044"/>
  <c r="AB7" i="2044"/>
  <c r="Q7" i="2044"/>
  <c r="P7" i="2044"/>
  <c r="AC7" i="2044" s="1"/>
  <c r="O7" i="2044"/>
  <c r="M7" i="2044"/>
  <c r="K7" i="2044"/>
  <c r="AF6" i="2044"/>
  <c r="AC6" i="2044"/>
  <c r="AB6" i="2044"/>
  <c r="Q6" i="2044"/>
  <c r="P6" i="2044"/>
  <c r="O6" i="2044"/>
  <c r="M6" i="2044"/>
  <c r="K6" i="2044"/>
  <c r="V25" i="16"/>
  <c r="V24" i="16"/>
  <c r="V23" i="16"/>
  <c r="V22" i="16"/>
  <c r="V21" i="16"/>
  <c r="V20" i="16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1" i="2043"/>
  <c r="L20" i="2043"/>
  <c r="M20" i="2043" s="1"/>
  <c r="K20" i="2043"/>
  <c r="L19" i="2043"/>
  <c r="K19" i="2043" s="1"/>
  <c r="L18" i="2043"/>
  <c r="O18" i="2043" s="1"/>
  <c r="L13" i="2043"/>
  <c r="L11" i="2043"/>
  <c r="K11" i="2043"/>
  <c r="L10" i="2043"/>
  <c r="K10" i="2043"/>
  <c r="L8" i="2043"/>
  <c r="K8" i="2043" s="1"/>
  <c r="L27" i="2043"/>
  <c r="K27" i="2043"/>
  <c r="K21" i="2043"/>
  <c r="K18" i="2043"/>
  <c r="K16" i="2043"/>
  <c r="K14" i="2043"/>
  <c r="K13" i="2043"/>
  <c r="K9" i="2043"/>
  <c r="A83" i="2043"/>
  <c r="A84" i="2043" s="1"/>
  <c r="A85" i="2043" s="1"/>
  <c r="A86" i="2043" s="1"/>
  <c r="A87" i="2043" s="1"/>
  <c r="A88" i="2043" s="1"/>
  <c r="AF67" i="2043"/>
  <c r="AF66" i="2043"/>
  <c r="AF69" i="2043" s="1"/>
  <c r="AA28" i="2043"/>
  <c r="Z28" i="2043"/>
  <c r="Y28" i="2043"/>
  <c r="X28" i="2043"/>
  <c r="W28" i="2043"/>
  <c r="V28" i="2043"/>
  <c r="U28" i="2043"/>
  <c r="T28" i="2043"/>
  <c r="S28" i="2043"/>
  <c r="R28" i="2043"/>
  <c r="N28" i="2043"/>
  <c r="J28" i="2043"/>
  <c r="I28" i="2043"/>
  <c r="AF27" i="2043"/>
  <c r="Q27" i="2043"/>
  <c r="P27" i="2043" s="1"/>
  <c r="AC27" i="2043" s="1"/>
  <c r="O27" i="2043"/>
  <c r="AF26" i="2043"/>
  <c r="AB26" i="2043"/>
  <c r="Q26" i="2043"/>
  <c r="P26" i="2043"/>
  <c r="AC26" i="2043" s="1"/>
  <c r="AD26" i="2043" s="1"/>
  <c r="O26" i="2043"/>
  <c r="M26" i="2043"/>
  <c r="K26" i="2043"/>
  <c r="AF25" i="2043"/>
  <c r="AB25" i="2043"/>
  <c r="Q25" i="2043"/>
  <c r="P25" i="2043"/>
  <c r="AC25" i="2043" s="1"/>
  <c r="O25" i="2043"/>
  <c r="M25" i="2043"/>
  <c r="K25" i="2043"/>
  <c r="AF24" i="2043"/>
  <c r="AC24" i="2043"/>
  <c r="AD24" i="2043" s="1"/>
  <c r="AB24" i="2043"/>
  <c r="Q24" i="2043"/>
  <c r="P24" i="2043"/>
  <c r="O24" i="2043"/>
  <c r="M24" i="2043"/>
  <c r="K24" i="2043"/>
  <c r="AF23" i="2043"/>
  <c r="AC23" i="2043"/>
  <c r="AB23" i="2043"/>
  <c r="Q23" i="2043"/>
  <c r="P23" i="2043"/>
  <c r="O23" i="2043"/>
  <c r="M23" i="2043"/>
  <c r="K23" i="2043"/>
  <c r="AF22" i="2043"/>
  <c r="AC22" i="2043"/>
  <c r="AD22" i="2043" s="1"/>
  <c r="AB22" i="2043"/>
  <c r="Q22" i="2043"/>
  <c r="P22" i="2043"/>
  <c r="O22" i="2043"/>
  <c r="M22" i="2043"/>
  <c r="K22" i="2043"/>
  <c r="AF21" i="2043"/>
  <c r="Q21" i="2043"/>
  <c r="AB21" i="2043"/>
  <c r="AF20" i="2043"/>
  <c r="Q20" i="2043"/>
  <c r="P20" i="2043"/>
  <c r="AC20" i="2043" s="1"/>
  <c r="AF19" i="2043"/>
  <c r="Q19" i="2043"/>
  <c r="M19" i="2043"/>
  <c r="AF18" i="2043"/>
  <c r="AB18" i="2043"/>
  <c r="Q18" i="2043"/>
  <c r="P18" i="2043" s="1"/>
  <c r="AC18" i="2043" s="1"/>
  <c r="M18" i="2043"/>
  <c r="AF17" i="2043"/>
  <c r="AC17" i="2043"/>
  <c r="AB17" i="2043"/>
  <c r="Q17" i="2043"/>
  <c r="P17" i="2043"/>
  <c r="O17" i="2043"/>
  <c r="M17" i="2043"/>
  <c r="K17" i="2043"/>
  <c r="AF16" i="2043"/>
  <c r="Q16" i="2043"/>
  <c r="AB16" i="2043"/>
  <c r="AF15" i="2043"/>
  <c r="AB15" i="2043"/>
  <c r="Q15" i="2043"/>
  <c r="P15" i="2043"/>
  <c r="AC15" i="2043" s="1"/>
  <c r="AD15" i="2043" s="1"/>
  <c r="O15" i="2043"/>
  <c r="M15" i="2043"/>
  <c r="K15" i="2043"/>
  <c r="AF14" i="2043"/>
  <c r="AB14" i="2043"/>
  <c r="Q14" i="2043"/>
  <c r="P14" i="2043"/>
  <c r="AC14" i="2043" s="1"/>
  <c r="O14" i="2043"/>
  <c r="M14" i="2043"/>
  <c r="AF13" i="2043"/>
  <c r="AB13" i="2043"/>
  <c r="Q13" i="2043"/>
  <c r="P13" i="2043"/>
  <c r="AC13" i="2043" s="1"/>
  <c r="O13" i="2043"/>
  <c r="M13" i="2043"/>
  <c r="AF12" i="2043"/>
  <c r="AB12" i="2043"/>
  <c r="Q12" i="2043"/>
  <c r="P12" i="2043"/>
  <c r="AC12" i="2043" s="1"/>
  <c r="O12" i="2043"/>
  <c r="M12" i="2043"/>
  <c r="K12" i="2043"/>
  <c r="AF11" i="2043"/>
  <c r="AB11" i="2043"/>
  <c r="Q11" i="2043"/>
  <c r="P11" i="2043"/>
  <c r="AC11" i="2043" s="1"/>
  <c r="O11" i="2043"/>
  <c r="M11" i="2043"/>
  <c r="AF10" i="2043"/>
  <c r="AB10" i="2043"/>
  <c r="Q10" i="2043"/>
  <c r="P10" i="2043" s="1"/>
  <c r="AC10" i="2043" s="1"/>
  <c r="AD10" i="2043" s="1"/>
  <c r="O10" i="2043"/>
  <c r="M10" i="2043"/>
  <c r="AF9" i="2043"/>
  <c r="AB9" i="2043"/>
  <c r="Q9" i="2043"/>
  <c r="P9" i="2043"/>
  <c r="AC9" i="2043" s="1"/>
  <c r="O9" i="2043"/>
  <c r="M9" i="2043"/>
  <c r="AF8" i="2043"/>
  <c r="Q8" i="2043"/>
  <c r="AF7" i="2043"/>
  <c r="AC7" i="2043"/>
  <c r="AD7" i="2043" s="1"/>
  <c r="AB7" i="2043"/>
  <c r="Q7" i="2043"/>
  <c r="P7" i="2043"/>
  <c r="O7" i="2043"/>
  <c r="M7" i="2043"/>
  <c r="K7" i="2043"/>
  <c r="AF6" i="2043"/>
  <c r="AC6" i="2043"/>
  <c r="AD6" i="2043" s="1"/>
  <c r="AB6" i="2043"/>
  <c r="Q6" i="2043"/>
  <c r="P6" i="2043"/>
  <c r="O6" i="2043"/>
  <c r="M6" i="2043"/>
  <c r="K6" i="2043"/>
  <c r="S25" i="16"/>
  <c r="S24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1" i="2042"/>
  <c r="K21" i="2042" s="1"/>
  <c r="L20" i="2042"/>
  <c r="K20" i="2042"/>
  <c r="L16" i="2042"/>
  <c r="AB16" i="2042" s="1"/>
  <c r="K16" i="2042"/>
  <c r="K14" i="2042"/>
  <c r="L8" i="2042"/>
  <c r="L27" i="2042"/>
  <c r="K19" i="2042"/>
  <c r="K18" i="2042"/>
  <c r="K13" i="2042"/>
  <c r="K12" i="2042"/>
  <c r="K11" i="2042"/>
  <c r="K9" i="2042"/>
  <c r="K8" i="2042"/>
  <c r="K7" i="2042"/>
  <c r="K6" i="2042"/>
  <c r="A83" i="2042"/>
  <c r="A84" i="2042" s="1"/>
  <c r="A85" i="2042" s="1"/>
  <c r="A86" i="2042" s="1"/>
  <c r="A87" i="2042" s="1"/>
  <c r="A88" i="2042" s="1"/>
  <c r="AF67" i="2042"/>
  <c r="AF66" i="2042"/>
  <c r="AF69" i="2042" s="1"/>
  <c r="AA28" i="2042"/>
  <c r="Z28" i="2042"/>
  <c r="Y28" i="2042"/>
  <c r="X28" i="2042"/>
  <c r="W28" i="2042"/>
  <c r="V28" i="2042"/>
  <c r="U28" i="2042"/>
  <c r="T28" i="2042"/>
  <c r="S28" i="2042"/>
  <c r="R28" i="2042"/>
  <c r="N28" i="2042"/>
  <c r="J28" i="2042"/>
  <c r="I28" i="2042"/>
  <c r="AF27" i="2042"/>
  <c r="Q27" i="2042"/>
  <c r="AF26" i="2042"/>
  <c r="AB26" i="2042"/>
  <c r="Q26" i="2042"/>
  <c r="P26" i="2042"/>
  <c r="AC26" i="2042" s="1"/>
  <c r="AD26" i="2042" s="1"/>
  <c r="O26" i="2042"/>
  <c r="M26" i="2042"/>
  <c r="K26" i="2042"/>
  <c r="AF25" i="2042"/>
  <c r="AB25" i="2042"/>
  <c r="Q25" i="2042"/>
  <c r="P25" i="2042"/>
  <c r="AC25" i="2042" s="1"/>
  <c r="AD25" i="2042" s="1"/>
  <c r="O25" i="2042"/>
  <c r="M25" i="2042"/>
  <c r="K25" i="2042"/>
  <c r="AF24" i="2042"/>
  <c r="AB24" i="2042"/>
  <c r="Q24" i="2042"/>
  <c r="P24" i="2042"/>
  <c r="AC24" i="2042" s="1"/>
  <c r="AD24" i="2042" s="1"/>
  <c r="O24" i="2042"/>
  <c r="M24" i="2042"/>
  <c r="K24" i="2042"/>
  <c r="AF23" i="2042"/>
  <c r="AB23" i="2042"/>
  <c r="Q23" i="2042"/>
  <c r="P23" i="2042"/>
  <c r="AC23" i="2042" s="1"/>
  <c r="O23" i="2042"/>
  <c r="M23" i="2042"/>
  <c r="K23" i="2042"/>
  <c r="AF22" i="2042"/>
  <c r="AC22" i="2042"/>
  <c r="AD22" i="2042" s="1"/>
  <c r="AB22" i="2042"/>
  <c r="Q22" i="2042"/>
  <c r="P22" i="2042"/>
  <c r="O22" i="2042"/>
  <c r="M22" i="2042"/>
  <c r="K22" i="2042"/>
  <c r="AF21" i="2042"/>
  <c r="Q21" i="2042"/>
  <c r="P21" i="2042"/>
  <c r="AC21" i="2042" s="1"/>
  <c r="AF20" i="2042"/>
  <c r="Q20" i="2042"/>
  <c r="P20" i="2042"/>
  <c r="AC20" i="2042" s="1"/>
  <c r="O20" i="2042"/>
  <c r="AF19" i="2042"/>
  <c r="AC19" i="2042"/>
  <c r="Q19" i="2042"/>
  <c r="P19" i="2042"/>
  <c r="O19" i="2042"/>
  <c r="M19" i="2042"/>
  <c r="AB19" i="2042"/>
  <c r="AF18" i="2042"/>
  <c r="AB18" i="2042"/>
  <c r="Q18" i="2042"/>
  <c r="P18" i="2042" s="1"/>
  <c r="AC18" i="2042" s="1"/>
  <c r="O18" i="2042"/>
  <c r="M18" i="2042"/>
  <c r="AF17" i="2042"/>
  <c r="AB17" i="2042"/>
  <c r="Q17" i="2042"/>
  <c r="P17" i="2042"/>
  <c r="AC17" i="2042" s="1"/>
  <c r="O17" i="2042"/>
  <c r="M17" i="2042"/>
  <c r="K17" i="2042"/>
  <c r="AF16" i="2042"/>
  <c r="Q16" i="2042"/>
  <c r="P16" i="2042" s="1"/>
  <c r="AC16" i="2042" s="1"/>
  <c r="O16" i="2042"/>
  <c r="AF15" i="2042"/>
  <c r="AB15" i="2042"/>
  <c r="Q15" i="2042"/>
  <c r="P15" i="2042"/>
  <c r="AC15" i="2042" s="1"/>
  <c r="O15" i="2042"/>
  <c r="M15" i="2042"/>
  <c r="K15" i="2042"/>
  <c r="AF14" i="2042"/>
  <c r="AB14" i="2042"/>
  <c r="Q14" i="2042"/>
  <c r="P14" i="2042"/>
  <c r="AC14" i="2042" s="1"/>
  <c r="O14" i="2042"/>
  <c r="M14" i="2042"/>
  <c r="AF13" i="2042"/>
  <c r="Q13" i="2042"/>
  <c r="P13" i="2042" s="1"/>
  <c r="AC13" i="2042" s="1"/>
  <c r="AF12" i="2042"/>
  <c r="Q12" i="2042"/>
  <c r="P12" i="2042"/>
  <c r="AC12" i="2042" s="1"/>
  <c r="O12" i="2042"/>
  <c r="AF11" i="2042"/>
  <c r="Q11" i="2042"/>
  <c r="P11" i="2042" s="1"/>
  <c r="AC11" i="2042" s="1"/>
  <c r="O11" i="2042"/>
  <c r="AB11" i="2042"/>
  <c r="AF10" i="2042"/>
  <c r="AC10" i="2042"/>
  <c r="AB10" i="2042"/>
  <c r="Q10" i="2042"/>
  <c r="P10" i="2042"/>
  <c r="O10" i="2042"/>
  <c r="M10" i="2042"/>
  <c r="K10" i="2042"/>
  <c r="AF9" i="2042"/>
  <c r="Q9" i="2042"/>
  <c r="P9" i="2042"/>
  <c r="AC9" i="2042" s="1"/>
  <c r="O9" i="2042"/>
  <c r="AF8" i="2042"/>
  <c r="Q8" i="2042"/>
  <c r="O8" i="2042"/>
  <c r="AB8" i="2042"/>
  <c r="AF7" i="2042"/>
  <c r="AB7" i="2042"/>
  <c r="Q7" i="2042"/>
  <c r="O7" i="2042"/>
  <c r="M7" i="2042"/>
  <c r="P7" i="2042"/>
  <c r="AC7" i="2042" s="1"/>
  <c r="AF6" i="2042"/>
  <c r="Q6" i="2042"/>
  <c r="P6" i="2042"/>
  <c r="AE27" i="2050" l="1"/>
  <c r="AE25" i="2050"/>
  <c r="AE23" i="2050"/>
  <c r="AE21" i="2050"/>
  <c r="AE18" i="2050"/>
  <c r="AE16" i="2050"/>
  <c r="AE14" i="2050"/>
  <c r="AE9" i="2050"/>
  <c r="AE26" i="2050"/>
  <c r="AE24" i="2050"/>
  <c r="AE22" i="2050"/>
  <c r="AE19" i="2050"/>
  <c r="AE12" i="2050"/>
  <c r="AE7" i="2050"/>
  <c r="AE6" i="2050"/>
  <c r="AE20" i="2050"/>
  <c r="AE17" i="2050"/>
  <c r="AE15" i="2050"/>
  <c r="AE13" i="2050"/>
  <c r="AE10" i="2050"/>
  <c r="AE8" i="2050"/>
  <c r="AE11" i="2050"/>
  <c r="AD19" i="2049"/>
  <c r="Q28" i="2049"/>
  <c r="P12" i="2049"/>
  <c r="AC12" i="2049" s="1"/>
  <c r="AB12" i="2049"/>
  <c r="M12" i="2049"/>
  <c r="AD11" i="2049"/>
  <c r="AD8" i="2049"/>
  <c r="AD9" i="2049"/>
  <c r="AD13" i="2049"/>
  <c r="AD24" i="2049"/>
  <c r="AD15" i="2049"/>
  <c r="AD22" i="2049"/>
  <c r="AD7" i="2049"/>
  <c r="AD14" i="2049"/>
  <c r="AD21" i="2049"/>
  <c r="AD18" i="2049"/>
  <c r="O6" i="2049"/>
  <c r="AC6" i="2049"/>
  <c r="O16" i="2049"/>
  <c r="AD16" i="2049" s="1"/>
  <c r="P17" i="2049"/>
  <c r="AC17" i="2049" s="1"/>
  <c r="P20" i="2049"/>
  <c r="AC20" i="2049" s="1"/>
  <c r="L28" i="2049"/>
  <c r="O28" i="2049" s="1"/>
  <c r="M17" i="2049"/>
  <c r="AB17" i="2049"/>
  <c r="AB20" i="2049"/>
  <c r="M6" i="2049"/>
  <c r="K28" i="2049"/>
  <c r="M16" i="2049"/>
  <c r="P18" i="2048"/>
  <c r="AC18" i="2048" s="1"/>
  <c r="AD16" i="2048"/>
  <c r="AD14" i="2048"/>
  <c r="AD15" i="2048"/>
  <c r="O6" i="2048"/>
  <c r="AD6" i="2048" s="1"/>
  <c r="Q28" i="2048"/>
  <c r="P20" i="2048"/>
  <c r="AC20" i="2048" s="1"/>
  <c r="AD8" i="2048"/>
  <c r="AD13" i="2048"/>
  <c r="AD7" i="2048"/>
  <c r="AD12" i="2048"/>
  <c r="AD17" i="2048"/>
  <c r="M9" i="2048"/>
  <c r="AB9" i="2048"/>
  <c r="O10" i="2048"/>
  <c r="AD10" i="2048" s="1"/>
  <c r="M18" i="2048"/>
  <c r="AB18" i="2048"/>
  <c r="AB28" i="2048" s="1"/>
  <c r="O19" i="2048"/>
  <c r="AD19" i="2048" s="1"/>
  <c r="L28" i="2048"/>
  <c r="O28" i="2048" s="1"/>
  <c r="M6" i="2048"/>
  <c r="O9" i="2048"/>
  <c r="AD9" i="2048" s="1"/>
  <c r="M12" i="2048"/>
  <c r="M17" i="2048"/>
  <c r="O18" i="2048"/>
  <c r="K28" i="2048"/>
  <c r="M18" i="2047"/>
  <c r="AB18" i="2047"/>
  <c r="AD18" i="2047" s="1"/>
  <c r="K17" i="2047"/>
  <c r="K11" i="2047"/>
  <c r="Q28" i="2047"/>
  <c r="P6" i="2047"/>
  <c r="AC6" i="2047" s="1"/>
  <c r="AD8" i="2047"/>
  <c r="AD9" i="2047"/>
  <c r="AD15" i="2047"/>
  <c r="AD16" i="2047"/>
  <c r="AD14" i="2047"/>
  <c r="O6" i="2047"/>
  <c r="P7" i="2047"/>
  <c r="AC7" i="2047" s="1"/>
  <c r="O11" i="2047"/>
  <c r="AD11" i="2047" s="1"/>
  <c r="K28" i="2047"/>
  <c r="P12" i="2047"/>
  <c r="AC12" i="2047" s="1"/>
  <c r="P17" i="2047"/>
  <c r="AC17" i="2047" s="1"/>
  <c r="O19" i="2047"/>
  <c r="AD19" i="2047" s="1"/>
  <c r="P20" i="2047"/>
  <c r="AC20" i="2047" s="1"/>
  <c r="L28" i="2047"/>
  <c r="O28" i="2047" s="1"/>
  <c r="M7" i="2047"/>
  <c r="AB7" i="2047"/>
  <c r="M12" i="2047"/>
  <c r="AB12" i="2047"/>
  <c r="M17" i="2047"/>
  <c r="AB17" i="2047"/>
  <c r="M20" i="2047"/>
  <c r="AB20" i="2047"/>
  <c r="M6" i="2047"/>
  <c r="M11" i="2047"/>
  <c r="M19" i="2047"/>
  <c r="AD11" i="2046"/>
  <c r="Q28" i="2046"/>
  <c r="AD7" i="2046"/>
  <c r="AB28" i="2046"/>
  <c r="AD15" i="2046"/>
  <c r="AD19" i="2046"/>
  <c r="AD20" i="2046"/>
  <c r="AD21" i="2046"/>
  <c r="AD8" i="2046"/>
  <c r="AD12" i="2046"/>
  <c r="AD16" i="2046"/>
  <c r="AD18" i="2046"/>
  <c r="O6" i="2046"/>
  <c r="P9" i="2046"/>
  <c r="AC9" i="2046" s="1"/>
  <c r="AD9" i="2046" s="1"/>
  <c r="P17" i="2046"/>
  <c r="AC17" i="2046" s="1"/>
  <c r="AD17" i="2046" s="1"/>
  <c r="L28" i="2046"/>
  <c r="O28" i="2046" s="1"/>
  <c r="P6" i="2046"/>
  <c r="M6" i="2046"/>
  <c r="M28" i="2046" s="1"/>
  <c r="AD9" i="2045"/>
  <c r="O10" i="2045"/>
  <c r="AD11" i="2045"/>
  <c r="O11" i="2045"/>
  <c r="K11" i="2045"/>
  <c r="AB13" i="2045"/>
  <c r="O13" i="2045"/>
  <c r="M13" i="2045"/>
  <c r="L28" i="2045"/>
  <c r="O28" i="2045" s="1"/>
  <c r="Q28" i="2045"/>
  <c r="AD21" i="2045"/>
  <c r="AD19" i="2045"/>
  <c r="AD16" i="2045"/>
  <c r="AB28" i="2045"/>
  <c r="AD6" i="2045"/>
  <c r="K28" i="2045"/>
  <c r="P10" i="2045"/>
  <c r="AC10" i="2045" s="1"/>
  <c r="P13" i="2045"/>
  <c r="AC13" i="2045" s="1"/>
  <c r="O17" i="2045"/>
  <c r="P18" i="2045"/>
  <c r="AC18" i="2045" s="1"/>
  <c r="AD18" i="2045" s="1"/>
  <c r="P17" i="2045"/>
  <c r="AC17" i="2045" s="1"/>
  <c r="M17" i="2045"/>
  <c r="M28" i="2045" s="1"/>
  <c r="Q28" i="2044"/>
  <c r="L28" i="2044"/>
  <c r="O28" i="2044" s="1"/>
  <c r="AD19" i="2044"/>
  <c r="AD22" i="2044"/>
  <c r="AD25" i="2044"/>
  <c r="AD12" i="2044"/>
  <c r="AD16" i="2044"/>
  <c r="AD23" i="2044"/>
  <c r="AD7" i="2044"/>
  <c r="AD9" i="2044"/>
  <c r="AD17" i="2044"/>
  <c r="AD20" i="2044"/>
  <c r="AD6" i="2044"/>
  <c r="O8" i="2044"/>
  <c r="M10" i="2044"/>
  <c r="M13" i="2044"/>
  <c r="AB21" i="2044"/>
  <c r="AB28" i="2044" s="1"/>
  <c r="P8" i="2044"/>
  <c r="AC8" i="2044" s="1"/>
  <c r="AD8" i="2044" s="1"/>
  <c r="O10" i="2044"/>
  <c r="P11" i="2044"/>
  <c r="AC11" i="2044" s="1"/>
  <c r="AD11" i="2044" s="1"/>
  <c r="O13" i="2044"/>
  <c r="P18" i="2044"/>
  <c r="AC18" i="2044" s="1"/>
  <c r="AD18" i="2044" s="1"/>
  <c r="M20" i="2044"/>
  <c r="O21" i="2044"/>
  <c r="K28" i="2044"/>
  <c r="P10" i="2044"/>
  <c r="AC10" i="2044" s="1"/>
  <c r="AD10" i="2044" s="1"/>
  <c r="P13" i="2044"/>
  <c r="AC13" i="2044" s="1"/>
  <c r="P21" i="2044"/>
  <c r="AC21" i="2044" s="1"/>
  <c r="O27" i="2044"/>
  <c r="AD27" i="2044" s="1"/>
  <c r="O20" i="2043"/>
  <c r="AB20" i="2043"/>
  <c r="AB28" i="2043" s="1"/>
  <c r="O19" i="2043"/>
  <c r="P19" i="2043"/>
  <c r="AC19" i="2043" s="1"/>
  <c r="AB19" i="2043"/>
  <c r="Q28" i="2043"/>
  <c r="L28" i="2043"/>
  <c r="O28" i="2043" s="1"/>
  <c r="M8" i="2043"/>
  <c r="AB8" i="2043"/>
  <c r="P8" i="2043"/>
  <c r="AC8" i="2043" s="1"/>
  <c r="O8" i="2043"/>
  <c r="AD23" i="2043"/>
  <c r="AD14" i="2043"/>
  <c r="AD17" i="2043"/>
  <c r="AD25" i="2043"/>
  <c r="AD11" i="2043"/>
  <c r="AD9" i="2043"/>
  <c r="AD12" i="2043"/>
  <c r="AD18" i="2043"/>
  <c r="AD13" i="2043"/>
  <c r="O16" i="2043"/>
  <c r="O21" i="2043"/>
  <c r="M27" i="2043"/>
  <c r="AB27" i="2043"/>
  <c r="AD27" i="2043" s="1"/>
  <c r="K28" i="2043"/>
  <c r="P16" i="2043"/>
  <c r="AC16" i="2043" s="1"/>
  <c r="AD16" i="2043" s="1"/>
  <c r="P21" i="2043"/>
  <c r="AC21" i="2043" s="1"/>
  <c r="M16" i="2043"/>
  <c r="M21" i="2043"/>
  <c r="M16" i="2042"/>
  <c r="AD14" i="2042"/>
  <c r="P8" i="2042"/>
  <c r="AC8" i="2042" s="1"/>
  <c r="Q28" i="2042"/>
  <c r="P27" i="2042"/>
  <c r="AC27" i="2042" s="1"/>
  <c r="K27" i="2042"/>
  <c r="O27" i="2042"/>
  <c r="AD16" i="2042"/>
  <c r="AD23" i="2042"/>
  <c r="AD17" i="2042"/>
  <c r="AD18" i="2042"/>
  <c r="AD10" i="2042"/>
  <c r="AD7" i="2042"/>
  <c r="AD15" i="2042"/>
  <c r="AD19" i="2042"/>
  <c r="AC6" i="2042"/>
  <c r="AD8" i="2042"/>
  <c r="AD11" i="2042"/>
  <c r="AB13" i="2042"/>
  <c r="AD13" i="2042" s="1"/>
  <c r="AB21" i="2042"/>
  <c r="O6" i="2042"/>
  <c r="M9" i="2042"/>
  <c r="AB9" i="2042"/>
  <c r="AD9" i="2042" s="1"/>
  <c r="M12" i="2042"/>
  <c r="AB12" i="2042"/>
  <c r="AD12" i="2042" s="1"/>
  <c r="O13" i="2042"/>
  <c r="M20" i="2042"/>
  <c r="AB20" i="2042"/>
  <c r="AD20" i="2042" s="1"/>
  <c r="O21" i="2042"/>
  <c r="M27" i="2042"/>
  <c r="AB27" i="2042"/>
  <c r="AD27" i="2042" s="1"/>
  <c r="L28" i="2042"/>
  <c r="O28" i="2042" s="1"/>
  <c r="M6" i="2042"/>
  <c r="AB6" i="2042"/>
  <c r="M13" i="2042"/>
  <c r="M21" i="2042"/>
  <c r="M8" i="2042"/>
  <c r="M11" i="2042"/>
  <c r="AD20" i="2049" l="1"/>
  <c r="AD12" i="2049"/>
  <c r="AB28" i="2049"/>
  <c r="AC28" i="2049"/>
  <c r="AD6" i="2049"/>
  <c r="P28" i="2049"/>
  <c r="M28" i="2049"/>
  <c r="AD17" i="2049"/>
  <c r="AC28" i="2048"/>
  <c r="P28" i="2048"/>
  <c r="AD20" i="2048"/>
  <c r="M28" i="2048"/>
  <c r="AD18" i="2048"/>
  <c r="AD17" i="2047"/>
  <c r="AB28" i="2047"/>
  <c r="M28" i="2047"/>
  <c r="AD7" i="2047"/>
  <c r="AC28" i="2047"/>
  <c r="AD6" i="2047"/>
  <c r="AD12" i="2047"/>
  <c r="P28" i="2047"/>
  <c r="AD20" i="2047"/>
  <c r="P28" i="2046"/>
  <c r="AC6" i="2046"/>
  <c r="K28" i="2046"/>
  <c r="AD10" i="2045"/>
  <c r="AD13" i="2045"/>
  <c r="AD21" i="2044"/>
  <c r="W18" i="16" s="1"/>
  <c r="AD17" i="2045"/>
  <c r="P28" i="2045"/>
  <c r="AC28" i="2045"/>
  <c r="AD13" i="2044"/>
  <c r="AD28" i="2044" s="1"/>
  <c r="W25" i="16" s="1"/>
  <c r="M28" i="2044"/>
  <c r="P28" i="2044"/>
  <c r="AC28" i="2044"/>
  <c r="AD20" i="2043"/>
  <c r="AD19" i="2043"/>
  <c r="AD8" i="2043"/>
  <c r="M28" i="2043"/>
  <c r="AC28" i="2043"/>
  <c r="AD21" i="2043"/>
  <c r="P28" i="2043"/>
  <c r="P28" i="2042"/>
  <c r="AB28" i="2042"/>
  <c r="AD21" i="2042"/>
  <c r="K28" i="2042"/>
  <c r="AC28" i="2042"/>
  <c r="AD6" i="2042"/>
  <c r="AD28" i="2042" s="1"/>
  <c r="M28" i="2042"/>
  <c r="AD28" i="2049" l="1"/>
  <c r="AE27" i="2049" s="1"/>
  <c r="AD28" i="2048"/>
  <c r="AE27" i="2048" s="1"/>
  <c r="AD28" i="2047"/>
  <c r="AC28" i="2046"/>
  <c r="AD6" i="2046"/>
  <c r="AD28" i="2046" s="1"/>
  <c r="AD28" i="2045"/>
  <c r="AE25" i="2045" s="1"/>
  <c r="AE27" i="2044"/>
  <c r="AE9" i="2044"/>
  <c r="AE23" i="2044"/>
  <c r="AE17" i="2044"/>
  <c r="AE7" i="2044"/>
  <c r="AE18" i="2044"/>
  <c r="AE11" i="2044"/>
  <c r="AE8" i="2044"/>
  <c r="AE26" i="2044"/>
  <c r="AE24" i="2044"/>
  <c r="AE22" i="2044"/>
  <c r="AE19" i="2044"/>
  <c r="AE16" i="2044"/>
  <c r="AE14" i="2044"/>
  <c r="AE6" i="2044"/>
  <c r="AE20" i="2044"/>
  <c r="AE12" i="2044"/>
  <c r="AE25" i="2044"/>
  <c r="AE21" i="2044"/>
  <c r="AE15" i="2044"/>
  <c r="AE13" i="2044"/>
  <c r="AE10" i="2044"/>
  <c r="AD28" i="2043"/>
  <c r="AE20" i="2043" s="1"/>
  <c r="AE18" i="2042"/>
  <c r="AE10" i="2042"/>
  <c r="AE7" i="2042"/>
  <c r="AE27" i="2042"/>
  <c r="AE9" i="2042"/>
  <c r="AE17" i="2042"/>
  <c r="AE15" i="2042"/>
  <c r="AE26" i="2042"/>
  <c r="AE24" i="2042"/>
  <c r="AE22" i="2042"/>
  <c r="AE19" i="2042"/>
  <c r="AE16" i="2042"/>
  <c r="AE14" i="2042"/>
  <c r="AE11" i="2042"/>
  <c r="AE8" i="2042"/>
  <c r="AE20" i="2042"/>
  <c r="AE12" i="2042"/>
  <c r="AE25" i="2042"/>
  <c r="AE23" i="2042"/>
  <c r="AE21" i="2042"/>
  <c r="AE13" i="2042"/>
  <c r="AE6" i="2042"/>
  <c r="AE17" i="2049" l="1"/>
  <c r="AE12" i="2049"/>
  <c r="AE20" i="2049"/>
  <c r="AE18" i="2049"/>
  <c r="AE26" i="2049"/>
  <c r="AE7" i="2049"/>
  <c r="AE11" i="2049"/>
  <c r="AE6" i="2049"/>
  <c r="AE16" i="2049"/>
  <c r="AE9" i="2049"/>
  <c r="AE22" i="2049"/>
  <c r="AE8" i="2049"/>
  <c r="AE10" i="2049"/>
  <c r="AE13" i="2049"/>
  <c r="AE21" i="2049"/>
  <c r="AE23" i="2049"/>
  <c r="AE25" i="2049"/>
  <c r="AE14" i="2049"/>
  <c r="AE24" i="2049"/>
  <c r="AE19" i="2049"/>
  <c r="AE15" i="2049"/>
  <c r="AE8" i="2048"/>
  <c r="AE16" i="2048"/>
  <c r="AE24" i="2048"/>
  <c r="AE21" i="2048"/>
  <c r="AE12" i="2048"/>
  <c r="AE26" i="2048"/>
  <c r="AE14" i="2048"/>
  <c r="AE9" i="2048"/>
  <c r="AE17" i="2048"/>
  <c r="AE20" i="2048"/>
  <c r="AE7" i="2048"/>
  <c r="AE13" i="2048"/>
  <c r="AE23" i="2048"/>
  <c r="AE6" i="2048"/>
  <c r="AE11" i="2048"/>
  <c r="AE22" i="2048"/>
  <c r="AE10" i="2048"/>
  <c r="AE15" i="2048"/>
  <c r="AE25" i="2048"/>
  <c r="AE19" i="2048"/>
  <c r="AE18" i="2048"/>
  <c r="AE27" i="2047"/>
  <c r="AE25" i="2047"/>
  <c r="AE23" i="2047"/>
  <c r="AE21" i="2047"/>
  <c r="AE18" i="2047"/>
  <c r="AE10" i="2047"/>
  <c r="AE8" i="2047"/>
  <c r="AE19" i="2047"/>
  <c r="AE16" i="2047"/>
  <c r="AE14" i="2047"/>
  <c r="AE11" i="2047"/>
  <c r="AE6" i="2047"/>
  <c r="AE26" i="2047"/>
  <c r="AE24" i="2047"/>
  <c r="AE22" i="2047"/>
  <c r="AE20" i="2047"/>
  <c r="AE17" i="2047"/>
  <c r="AE12" i="2047"/>
  <c r="AE9" i="2047"/>
  <c r="AE7" i="2047"/>
  <c r="AE15" i="2047"/>
  <c r="AE13" i="2047"/>
  <c r="AE27" i="2046"/>
  <c r="AE25" i="2046"/>
  <c r="AE23" i="2046"/>
  <c r="AE21" i="2046"/>
  <c r="AE18" i="2046"/>
  <c r="AE11" i="2046"/>
  <c r="AE6" i="2046"/>
  <c r="AE16" i="2046"/>
  <c r="AE14" i="2046"/>
  <c r="AE8" i="2046"/>
  <c r="AE26" i="2046"/>
  <c r="AE24" i="2046"/>
  <c r="AE22" i="2046"/>
  <c r="AE19" i="2046"/>
  <c r="AE17" i="2046"/>
  <c r="AE12" i="2046"/>
  <c r="AE9" i="2046"/>
  <c r="AE20" i="2046"/>
  <c r="AE15" i="2046"/>
  <c r="AE13" i="2046"/>
  <c r="AE10" i="2046"/>
  <c r="AE7" i="2046"/>
  <c r="AE6" i="2045"/>
  <c r="AE24" i="2045"/>
  <c r="AE7" i="2045"/>
  <c r="AE26" i="2045"/>
  <c r="AE21" i="2045"/>
  <c r="AE18" i="2045"/>
  <c r="AE11" i="2045"/>
  <c r="AE19" i="2045"/>
  <c r="AE15" i="2045"/>
  <c r="AE17" i="2045"/>
  <c r="AE27" i="2045"/>
  <c r="AE10" i="2045"/>
  <c r="AE20" i="2045"/>
  <c r="AE9" i="2045"/>
  <c r="AE14" i="2045"/>
  <c r="AE23" i="2045"/>
  <c r="AE8" i="2045"/>
  <c r="AE13" i="2045"/>
  <c r="AE22" i="2045"/>
  <c r="AE12" i="2045"/>
  <c r="AE16" i="2045"/>
  <c r="AE19" i="2043"/>
  <c r="AE22" i="2043"/>
  <c r="AE6" i="2043"/>
  <c r="AE12" i="2043"/>
  <c r="AE14" i="2043"/>
  <c r="AE11" i="2043"/>
  <c r="AE23" i="2043"/>
  <c r="AE13" i="2043"/>
  <c r="AE7" i="2043"/>
  <c r="AE21" i="2043"/>
  <c r="AE27" i="2043"/>
  <c r="AE24" i="2043"/>
  <c r="AE8" i="2043"/>
  <c r="AE16" i="2043"/>
  <c r="AE25" i="2043"/>
  <c r="AE15" i="2043"/>
  <c r="AE17" i="2043"/>
  <c r="AE26" i="2043"/>
  <c r="AE10" i="2043"/>
  <c r="AE18" i="2043"/>
  <c r="AE9" i="2043"/>
  <c r="R25" i="16"/>
  <c r="R24" i="16"/>
  <c r="R23" i="16"/>
  <c r="R22" i="16"/>
  <c r="R21" i="16"/>
  <c r="R20" i="16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1" i="2041"/>
  <c r="L20" i="2041"/>
  <c r="L19" i="2041"/>
  <c r="L18" i="2041"/>
  <c r="K18" i="2041" s="1"/>
  <c r="L13" i="2041"/>
  <c r="K13" i="2041"/>
  <c r="L12" i="2041"/>
  <c r="K12" i="2041" s="1"/>
  <c r="L11" i="2041"/>
  <c r="K11" i="2041" s="1"/>
  <c r="L9" i="2041"/>
  <c r="L8" i="2041"/>
  <c r="L7" i="2041"/>
  <c r="L6" i="2041"/>
  <c r="K6" i="2041"/>
  <c r="L27" i="2041" l="1"/>
  <c r="K27" i="2041" s="1"/>
  <c r="K21" i="2041"/>
  <c r="K20" i="2041"/>
  <c r="K19" i="2041"/>
  <c r="K14" i="2041"/>
  <c r="K9" i="2041"/>
  <c r="K8" i="2041"/>
  <c r="K7" i="2041"/>
  <c r="A85" i="2041"/>
  <c r="A86" i="2041" s="1"/>
  <c r="A87" i="2041" s="1"/>
  <c r="A88" i="2041" s="1"/>
  <c r="A84" i="2041"/>
  <c r="A83" i="2041"/>
  <c r="AF67" i="2041"/>
  <c r="AF69" i="2041" s="1"/>
  <c r="AF66" i="2041"/>
  <c r="AA28" i="2041"/>
  <c r="Z28" i="2041"/>
  <c r="Y28" i="2041"/>
  <c r="X28" i="2041"/>
  <c r="W28" i="2041"/>
  <c r="V28" i="2041"/>
  <c r="U28" i="2041"/>
  <c r="T28" i="2041"/>
  <c r="S28" i="2041"/>
  <c r="R28" i="2041"/>
  <c r="N28" i="2041"/>
  <c r="J28" i="2041"/>
  <c r="I28" i="2041"/>
  <c r="AF27" i="2041"/>
  <c r="AB27" i="2041"/>
  <c r="Q27" i="2041"/>
  <c r="O27" i="2041"/>
  <c r="P27" i="2041"/>
  <c r="AC27" i="2041" s="1"/>
  <c r="AF26" i="2041"/>
  <c r="AB26" i="2041"/>
  <c r="Q26" i="2041"/>
  <c r="P26" i="2041"/>
  <c r="AC26" i="2041" s="1"/>
  <c r="O26" i="2041"/>
  <c r="M26" i="2041"/>
  <c r="K26" i="2041"/>
  <c r="AF25" i="2041"/>
  <c r="AC25" i="2041"/>
  <c r="AD25" i="2041" s="1"/>
  <c r="AB25" i="2041"/>
  <c r="Q25" i="2041"/>
  <c r="P25" i="2041"/>
  <c r="O25" i="2041"/>
  <c r="M25" i="2041"/>
  <c r="K25" i="2041"/>
  <c r="AF24" i="2041"/>
  <c r="AB24" i="2041"/>
  <c r="Q24" i="2041"/>
  <c r="P24" i="2041"/>
  <c r="AC24" i="2041" s="1"/>
  <c r="O24" i="2041"/>
  <c r="M24" i="2041"/>
  <c r="K24" i="2041"/>
  <c r="AF23" i="2041"/>
  <c r="AC23" i="2041"/>
  <c r="AB23" i="2041"/>
  <c r="Q23" i="2041"/>
  <c r="P23" i="2041"/>
  <c r="O23" i="2041"/>
  <c r="M23" i="2041"/>
  <c r="K23" i="2041"/>
  <c r="AF22" i="2041"/>
  <c r="AB22" i="2041"/>
  <c r="Q22" i="2041"/>
  <c r="P22" i="2041"/>
  <c r="AC22" i="2041" s="1"/>
  <c r="AD22" i="2041" s="1"/>
  <c r="O22" i="2041"/>
  <c r="M22" i="2041"/>
  <c r="K22" i="2041"/>
  <c r="AF21" i="2041"/>
  <c r="AB21" i="2041"/>
  <c r="Q21" i="2041"/>
  <c r="P21" i="2041"/>
  <c r="AC21" i="2041" s="1"/>
  <c r="AD21" i="2041" s="1"/>
  <c r="O21" i="2041"/>
  <c r="M21" i="2041"/>
  <c r="AF20" i="2041"/>
  <c r="AB20" i="2041"/>
  <c r="Q20" i="2041"/>
  <c r="O20" i="2041"/>
  <c r="M20" i="2041"/>
  <c r="P20" i="2041"/>
  <c r="AC20" i="2041" s="1"/>
  <c r="AF19" i="2041"/>
  <c r="Q19" i="2041"/>
  <c r="P19" i="2041" s="1"/>
  <c r="AC19" i="2041" s="1"/>
  <c r="AF18" i="2041"/>
  <c r="Q18" i="2041"/>
  <c r="P18" i="2041" s="1"/>
  <c r="AC18" i="2041" s="1"/>
  <c r="O18" i="2041"/>
  <c r="AF17" i="2041"/>
  <c r="AB17" i="2041"/>
  <c r="Q17" i="2041"/>
  <c r="P17" i="2041"/>
  <c r="AC17" i="2041" s="1"/>
  <c r="AD17" i="2041" s="1"/>
  <c r="O17" i="2041"/>
  <c r="M17" i="2041"/>
  <c r="K17" i="2041"/>
  <c r="AF16" i="2041"/>
  <c r="AB16" i="2041"/>
  <c r="Q16" i="2041"/>
  <c r="P16" i="2041"/>
  <c r="AC16" i="2041" s="1"/>
  <c r="AD16" i="2041" s="1"/>
  <c r="O16" i="2041"/>
  <c r="M16" i="2041"/>
  <c r="K16" i="2041"/>
  <c r="AF15" i="2041"/>
  <c r="AB15" i="2041"/>
  <c r="Q15" i="2041"/>
  <c r="P15" i="2041"/>
  <c r="AC15" i="2041" s="1"/>
  <c r="AD15" i="2041" s="1"/>
  <c r="O15" i="2041"/>
  <c r="M15" i="2041"/>
  <c r="K15" i="2041"/>
  <c r="AF14" i="2041"/>
  <c r="AB14" i="2041"/>
  <c r="Q14" i="2041"/>
  <c r="P14" i="2041" s="1"/>
  <c r="AC14" i="2041" s="1"/>
  <c r="O14" i="2041"/>
  <c r="M14" i="2041"/>
  <c r="AF13" i="2041"/>
  <c r="AB13" i="2041"/>
  <c r="Q13" i="2041"/>
  <c r="P13" i="2041" s="1"/>
  <c r="AC13" i="2041" s="1"/>
  <c r="O13" i="2041"/>
  <c r="M13" i="2041"/>
  <c r="AF12" i="2041"/>
  <c r="AB12" i="2041"/>
  <c r="Q12" i="2041"/>
  <c r="P12" i="2041" s="1"/>
  <c r="AC12" i="2041" s="1"/>
  <c r="O12" i="2041"/>
  <c r="M12" i="2041"/>
  <c r="AF11" i="2041"/>
  <c r="AB11" i="2041"/>
  <c r="Q11" i="2041"/>
  <c r="P11" i="2041"/>
  <c r="AC11" i="2041" s="1"/>
  <c r="O11" i="2041"/>
  <c r="M11" i="2041"/>
  <c r="AF10" i="2041"/>
  <c r="AC10" i="2041"/>
  <c r="AD10" i="2041" s="1"/>
  <c r="AB10" i="2041"/>
  <c r="Q10" i="2041"/>
  <c r="P10" i="2041"/>
  <c r="O10" i="2041"/>
  <c r="M10" i="2041"/>
  <c r="K10" i="2041"/>
  <c r="AF9" i="2041"/>
  <c r="Q9" i="2041"/>
  <c r="P9" i="2041" s="1"/>
  <c r="AC9" i="2041" s="1"/>
  <c r="O9" i="2041"/>
  <c r="AF8" i="2041"/>
  <c r="AB8" i="2041"/>
  <c r="Q8" i="2041"/>
  <c r="P8" i="2041"/>
  <c r="AC8" i="2041" s="1"/>
  <c r="O8" i="2041"/>
  <c r="M8" i="2041"/>
  <c r="AF7" i="2041"/>
  <c r="AB7" i="2041"/>
  <c r="Q7" i="2041"/>
  <c r="O7" i="2041"/>
  <c r="M7" i="2041"/>
  <c r="P7" i="2041"/>
  <c r="AC7" i="2041" s="1"/>
  <c r="AF6" i="2041"/>
  <c r="Q6" i="2041"/>
  <c r="Q25" i="16"/>
  <c r="Q24" i="16"/>
  <c r="Q23" i="16"/>
  <c r="Q22" i="16"/>
  <c r="Q21" i="16"/>
  <c r="Q20" i="16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P25" i="16"/>
  <c r="P24" i="16"/>
  <c r="P23" i="16"/>
  <c r="P22" i="16"/>
  <c r="P21" i="16"/>
  <c r="P20" i="16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7" i="2040"/>
  <c r="L21" i="2040"/>
  <c r="L20" i="2040"/>
  <c r="L19" i="2040"/>
  <c r="L18" i="2040"/>
  <c r="O18" i="2040" s="1"/>
  <c r="K18" i="2040"/>
  <c r="K14" i="2040"/>
  <c r="L13" i="2040"/>
  <c r="K13" i="2040" s="1"/>
  <c r="L9" i="2040"/>
  <c r="K9" i="2040" s="1"/>
  <c r="L8" i="2040"/>
  <c r="K8" i="2040" s="1"/>
  <c r="L7" i="2040"/>
  <c r="K7" i="2040" s="1"/>
  <c r="L6" i="2040"/>
  <c r="K6" i="2040"/>
  <c r="K27" i="2040"/>
  <c r="K20" i="2040"/>
  <c r="K19" i="2040"/>
  <c r="K16" i="2040"/>
  <c r="A85" i="2040"/>
  <c r="A86" i="2040" s="1"/>
  <c r="A87" i="2040" s="1"/>
  <c r="A88" i="2040" s="1"/>
  <c r="A84" i="2040"/>
  <c r="A83" i="2040"/>
  <c r="AF67" i="2040"/>
  <c r="AF66" i="2040"/>
  <c r="AF69" i="2040" s="1"/>
  <c r="AA28" i="2040"/>
  <c r="Z28" i="2040"/>
  <c r="Y28" i="2040"/>
  <c r="X28" i="2040"/>
  <c r="W28" i="2040"/>
  <c r="V28" i="2040"/>
  <c r="U28" i="2040"/>
  <c r="T28" i="2040"/>
  <c r="S28" i="2040"/>
  <c r="R28" i="2040"/>
  <c r="N28" i="2040"/>
  <c r="J28" i="2040"/>
  <c r="I28" i="2040"/>
  <c r="AF27" i="2040"/>
  <c r="Q27" i="2040"/>
  <c r="P27" i="2040"/>
  <c r="AC27" i="2040" s="1"/>
  <c r="AF26" i="2040"/>
  <c r="AB26" i="2040"/>
  <c r="Q26" i="2040"/>
  <c r="P26" i="2040"/>
  <c r="AC26" i="2040" s="1"/>
  <c r="O26" i="2040"/>
  <c r="M26" i="2040"/>
  <c r="K26" i="2040"/>
  <c r="AF25" i="2040"/>
  <c r="AC25" i="2040"/>
  <c r="AB25" i="2040"/>
  <c r="Q25" i="2040"/>
  <c r="P25" i="2040"/>
  <c r="O25" i="2040"/>
  <c r="M25" i="2040"/>
  <c r="K25" i="2040"/>
  <c r="AF24" i="2040"/>
  <c r="AB24" i="2040"/>
  <c r="Q24" i="2040"/>
  <c r="P24" i="2040"/>
  <c r="AC24" i="2040" s="1"/>
  <c r="O24" i="2040"/>
  <c r="M24" i="2040"/>
  <c r="K24" i="2040"/>
  <c r="AF23" i="2040"/>
  <c r="AC23" i="2040"/>
  <c r="AB23" i="2040"/>
  <c r="Q23" i="2040"/>
  <c r="P23" i="2040"/>
  <c r="O23" i="2040"/>
  <c r="M23" i="2040"/>
  <c r="K23" i="2040"/>
  <c r="AF22" i="2040"/>
  <c r="AB22" i="2040"/>
  <c r="Q22" i="2040"/>
  <c r="P22" i="2040"/>
  <c r="AC22" i="2040" s="1"/>
  <c r="AD22" i="2040" s="1"/>
  <c r="O22" i="2040"/>
  <c r="M22" i="2040"/>
  <c r="K22" i="2040"/>
  <c r="AF21" i="2040"/>
  <c r="AB21" i="2040"/>
  <c r="Q21" i="2040"/>
  <c r="P21" i="2040"/>
  <c r="AC21" i="2040" s="1"/>
  <c r="AD21" i="2040" s="1"/>
  <c r="O21" i="2040"/>
  <c r="M21" i="2040"/>
  <c r="K21" i="2040"/>
  <c r="AF20" i="2040"/>
  <c r="Q20" i="2040"/>
  <c r="P20" i="2040"/>
  <c r="AC20" i="2040" s="1"/>
  <c r="O20" i="2040"/>
  <c r="AF19" i="2040"/>
  <c r="AB19" i="2040"/>
  <c r="Q19" i="2040"/>
  <c r="P19" i="2040" s="1"/>
  <c r="AC19" i="2040" s="1"/>
  <c r="O19" i="2040"/>
  <c r="M19" i="2040"/>
  <c r="AF18" i="2040"/>
  <c r="AB18" i="2040"/>
  <c r="Q18" i="2040"/>
  <c r="M18" i="2040"/>
  <c r="P18" i="2040"/>
  <c r="AC18" i="2040" s="1"/>
  <c r="AF17" i="2040"/>
  <c r="AB17" i="2040"/>
  <c r="Q17" i="2040"/>
  <c r="P17" i="2040"/>
  <c r="AC17" i="2040" s="1"/>
  <c r="AD17" i="2040" s="1"/>
  <c r="O17" i="2040"/>
  <c r="M17" i="2040"/>
  <c r="K17" i="2040"/>
  <c r="AF16" i="2040"/>
  <c r="AB16" i="2040"/>
  <c r="Q16" i="2040"/>
  <c r="P16" i="2040"/>
  <c r="AC16" i="2040" s="1"/>
  <c r="AD16" i="2040" s="1"/>
  <c r="O16" i="2040"/>
  <c r="M16" i="2040"/>
  <c r="AF15" i="2040"/>
  <c r="AC15" i="2040"/>
  <c r="AD15" i="2040" s="1"/>
  <c r="AB15" i="2040"/>
  <c r="Q15" i="2040"/>
  <c r="P15" i="2040"/>
  <c r="O15" i="2040"/>
  <c r="M15" i="2040"/>
  <c r="K15" i="2040"/>
  <c r="AF14" i="2040"/>
  <c r="AB14" i="2040"/>
  <c r="Q14" i="2040"/>
  <c r="P14" i="2040" s="1"/>
  <c r="AC14" i="2040" s="1"/>
  <c r="O14" i="2040"/>
  <c r="M14" i="2040"/>
  <c r="AF13" i="2040"/>
  <c r="AB13" i="2040"/>
  <c r="Q13" i="2040"/>
  <c r="P13" i="2040" s="1"/>
  <c r="AC13" i="2040" s="1"/>
  <c r="O13" i="2040"/>
  <c r="M13" i="2040"/>
  <c r="AF12" i="2040"/>
  <c r="AB12" i="2040"/>
  <c r="Q12" i="2040"/>
  <c r="P12" i="2040"/>
  <c r="AC12" i="2040" s="1"/>
  <c r="O12" i="2040"/>
  <c r="M12" i="2040"/>
  <c r="K12" i="2040"/>
  <c r="AF11" i="2040"/>
  <c r="AC11" i="2040"/>
  <c r="AD11" i="2040" s="1"/>
  <c r="AB11" i="2040"/>
  <c r="Q11" i="2040"/>
  <c r="P11" i="2040"/>
  <c r="O11" i="2040"/>
  <c r="M11" i="2040"/>
  <c r="K11" i="2040"/>
  <c r="AF10" i="2040"/>
  <c r="AB10" i="2040"/>
  <c r="Q10" i="2040"/>
  <c r="P10" i="2040"/>
  <c r="AC10" i="2040" s="1"/>
  <c r="O10" i="2040"/>
  <c r="M10" i="2040"/>
  <c r="K10" i="2040"/>
  <c r="AF9" i="2040"/>
  <c r="AB9" i="2040"/>
  <c r="Q9" i="2040"/>
  <c r="P9" i="2040" s="1"/>
  <c r="AC9" i="2040" s="1"/>
  <c r="O9" i="2040"/>
  <c r="M9" i="2040"/>
  <c r="AF8" i="2040"/>
  <c r="AB8" i="2040"/>
  <c r="Q8" i="2040"/>
  <c r="P8" i="2040" s="1"/>
  <c r="AC8" i="2040" s="1"/>
  <c r="O8" i="2040"/>
  <c r="M8" i="2040"/>
  <c r="AF7" i="2040"/>
  <c r="Q7" i="2040"/>
  <c r="P7" i="2040" s="1"/>
  <c r="AC7" i="2040" s="1"/>
  <c r="AF6" i="2040"/>
  <c r="Q6" i="2040"/>
  <c r="O6" i="2040"/>
  <c r="L27" i="2039"/>
  <c r="L20" i="2039"/>
  <c r="L19" i="2039"/>
  <c r="L18" i="2039"/>
  <c r="K18" i="2039"/>
  <c r="AD20" i="2041" l="1"/>
  <c r="AD13" i="2041"/>
  <c r="AD12" i="2041"/>
  <c r="Q28" i="2041"/>
  <c r="P6" i="2041"/>
  <c r="P28" i="2041" s="1"/>
  <c r="M27" i="2041"/>
  <c r="AD8" i="2041"/>
  <c r="AD7" i="2041"/>
  <c r="AD11" i="2041"/>
  <c r="AD23" i="2041"/>
  <c r="AD26" i="2041"/>
  <c r="AD27" i="2041"/>
  <c r="AD14" i="2041"/>
  <c r="AD24" i="2041"/>
  <c r="AC6" i="2041"/>
  <c r="M19" i="2041"/>
  <c r="AB19" i="2041"/>
  <c r="AD19" i="2041" s="1"/>
  <c r="L28" i="2041"/>
  <c r="O28" i="2041" s="1"/>
  <c r="O6" i="2041"/>
  <c r="M9" i="2041"/>
  <c r="AB9" i="2041"/>
  <c r="AD9" i="2041" s="1"/>
  <c r="M18" i="2041"/>
  <c r="AB18" i="2041"/>
  <c r="AD18" i="2041" s="1"/>
  <c r="O19" i="2041"/>
  <c r="M6" i="2041"/>
  <c r="AB6" i="2041"/>
  <c r="K28" i="2041"/>
  <c r="AD19" i="2040"/>
  <c r="AD18" i="2040"/>
  <c r="AD13" i="2040"/>
  <c r="Q28" i="2040"/>
  <c r="P6" i="2040"/>
  <c r="AC6" i="2040" s="1"/>
  <c r="AC28" i="2040" s="1"/>
  <c r="AD12" i="2040"/>
  <c r="AD8" i="2040"/>
  <c r="AD10" i="2040"/>
  <c r="AD14" i="2040"/>
  <c r="AD23" i="2040"/>
  <c r="AD26" i="2040"/>
  <c r="AD9" i="2040"/>
  <c r="AD25" i="2040"/>
  <c r="AD24" i="2040"/>
  <c r="M7" i="2040"/>
  <c r="M27" i="2040"/>
  <c r="M6" i="2040"/>
  <c r="AB6" i="2040"/>
  <c r="O7" i="2040"/>
  <c r="K28" i="2040"/>
  <c r="M20" i="2040"/>
  <c r="AB20" i="2040"/>
  <c r="AD20" i="2040" s="1"/>
  <c r="O27" i="2040"/>
  <c r="AB7" i="2040"/>
  <c r="AB27" i="2040"/>
  <c r="L28" i="2040"/>
  <c r="O28" i="2040" s="1"/>
  <c r="L16" i="2039"/>
  <c r="K16" i="2039" s="1"/>
  <c r="L13" i="2039"/>
  <c r="K13" i="2039"/>
  <c r="L9" i="2039"/>
  <c r="K9" i="2039" s="1"/>
  <c r="L8" i="2039"/>
  <c r="L7" i="2039"/>
  <c r="L6" i="2039"/>
  <c r="K27" i="2039"/>
  <c r="K20" i="2039"/>
  <c r="K19" i="2039"/>
  <c r="K11" i="2039"/>
  <c r="K10" i="2039"/>
  <c r="K8" i="2039"/>
  <c r="K7" i="2039"/>
  <c r="K6" i="2039"/>
  <c r="A83" i="2039"/>
  <c r="A84" i="2039" s="1"/>
  <c r="A85" i="2039" s="1"/>
  <c r="A86" i="2039" s="1"/>
  <c r="A87" i="2039" s="1"/>
  <c r="A88" i="2039" s="1"/>
  <c r="AF67" i="2039"/>
  <c r="AF66" i="2039"/>
  <c r="AF69" i="2039" s="1"/>
  <c r="AA28" i="2039"/>
  <c r="Z28" i="2039"/>
  <c r="Y28" i="2039"/>
  <c r="X28" i="2039"/>
  <c r="W28" i="2039"/>
  <c r="V28" i="2039"/>
  <c r="U28" i="2039"/>
  <c r="T28" i="2039"/>
  <c r="S28" i="2039"/>
  <c r="R28" i="2039"/>
  <c r="N28" i="2039"/>
  <c r="J28" i="2039"/>
  <c r="I28" i="2039"/>
  <c r="AF27" i="2039"/>
  <c r="AB27" i="2039"/>
  <c r="Q27" i="2039"/>
  <c r="P27" i="2039"/>
  <c r="AC27" i="2039" s="1"/>
  <c r="M27" i="2039"/>
  <c r="O27" i="2039"/>
  <c r="AF26" i="2039"/>
  <c r="AB26" i="2039"/>
  <c r="Q26" i="2039"/>
  <c r="P26" i="2039"/>
  <c r="AC26" i="2039" s="1"/>
  <c r="O26" i="2039"/>
  <c r="M26" i="2039"/>
  <c r="K26" i="2039"/>
  <c r="AF25" i="2039"/>
  <c r="AB25" i="2039"/>
  <c r="Q25" i="2039"/>
  <c r="P25" i="2039"/>
  <c r="AC25" i="2039" s="1"/>
  <c r="O25" i="2039"/>
  <c r="M25" i="2039"/>
  <c r="K25" i="2039"/>
  <c r="AF24" i="2039"/>
  <c r="AB24" i="2039"/>
  <c r="Q24" i="2039"/>
  <c r="P24" i="2039"/>
  <c r="AC24" i="2039" s="1"/>
  <c r="AD24" i="2039" s="1"/>
  <c r="O24" i="2039"/>
  <c r="M24" i="2039"/>
  <c r="K24" i="2039"/>
  <c r="AF23" i="2039"/>
  <c r="AB23" i="2039"/>
  <c r="Q23" i="2039"/>
  <c r="P23" i="2039"/>
  <c r="AC23" i="2039" s="1"/>
  <c r="AD23" i="2039" s="1"/>
  <c r="O23" i="2039"/>
  <c r="M23" i="2039"/>
  <c r="K23" i="2039"/>
  <c r="AF22" i="2039"/>
  <c r="AB22" i="2039"/>
  <c r="Q22" i="2039"/>
  <c r="P22" i="2039"/>
  <c r="AC22" i="2039" s="1"/>
  <c r="O22" i="2039"/>
  <c r="M22" i="2039"/>
  <c r="K22" i="2039"/>
  <c r="AF21" i="2039"/>
  <c r="AB21" i="2039"/>
  <c r="Q21" i="2039"/>
  <c r="P21" i="2039"/>
  <c r="AC21" i="2039" s="1"/>
  <c r="O21" i="2039"/>
  <c r="M21" i="2039"/>
  <c r="K21" i="2039"/>
  <c r="AF20" i="2039"/>
  <c r="Q20" i="2039"/>
  <c r="P20" i="2039" s="1"/>
  <c r="AC20" i="2039" s="1"/>
  <c r="AF19" i="2039"/>
  <c r="AB19" i="2039"/>
  <c r="Q19" i="2039"/>
  <c r="P19" i="2039"/>
  <c r="AC19" i="2039" s="1"/>
  <c r="O19" i="2039"/>
  <c r="M19" i="2039"/>
  <c r="AF18" i="2039"/>
  <c r="Q18" i="2039"/>
  <c r="O18" i="2039"/>
  <c r="AB18" i="2039"/>
  <c r="AF17" i="2039"/>
  <c r="AB17" i="2039"/>
  <c r="Q17" i="2039"/>
  <c r="P17" i="2039"/>
  <c r="AC17" i="2039" s="1"/>
  <c r="O17" i="2039"/>
  <c r="M17" i="2039"/>
  <c r="K17" i="2039"/>
  <c r="AF16" i="2039"/>
  <c r="AB16" i="2039"/>
  <c r="Q16" i="2039"/>
  <c r="P16" i="2039" s="1"/>
  <c r="AC16" i="2039" s="1"/>
  <c r="M16" i="2039"/>
  <c r="AF15" i="2039"/>
  <c r="AC15" i="2039"/>
  <c r="AB15" i="2039"/>
  <c r="Q15" i="2039"/>
  <c r="P15" i="2039"/>
  <c r="O15" i="2039"/>
  <c r="M15" i="2039"/>
  <c r="K15" i="2039"/>
  <c r="AF14" i="2039"/>
  <c r="AC14" i="2039"/>
  <c r="AD14" i="2039" s="1"/>
  <c r="AB14" i="2039"/>
  <c r="Q14" i="2039"/>
  <c r="P14" i="2039"/>
  <c r="O14" i="2039"/>
  <c r="M14" i="2039"/>
  <c r="K14" i="2039"/>
  <c r="AF13" i="2039"/>
  <c r="Q13" i="2039"/>
  <c r="AF12" i="2039"/>
  <c r="AB12" i="2039"/>
  <c r="Q12" i="2039"/>
  <c r="P12" i="2039"/>
  <c r="AC12" i="2039" s="1"/>
  <c r="AD12" i="2039" s="1"/>
  <c r="O12" i="2039"/>
  <c r="M12" i="2039"/>
  <c r="K12" i="2039"/>
  <c r="AF11" i="2039"/>
  <c r="AB11" i="2039"/>
  <c r="Q11" i="2039"/>
  <c r="P11" i="2039"/>
  <c r="AC11" i="2039" s="1"/>
  <c r="O11" i="2039"/>
  <c r="M11" i="2039"/>
  <c r="AF10" i="2039"/>
  <c r="AB10" i="2039"/>
  <c r="Q10" i="2039"/>
  <c r="P10" i="2039"/>
  <c r="AC10" i="2039" s="1"/>
  <c r="O10" i="2039"/>
  <c r="M10" i="2039"/>
  <c r="AF9" i="2039"/>
  <c r="Q9" i="2039"/>
  <c r="AF8" i="2039"/>
  <c r="AB8" i="2039"/>
  <c r="Q8" i="2039"/>
  <c r="P8" i="2039"/>
  <c r="AC8" i="2039" s="1"/>
  <c r="M8" i="2039"/>
  <c r="O8" i="2039"/>
  <c r="AF7" i="2039"/>
  <c r="Q7" i="2039"/>
  <c r="P7" i="2039"/>
  <c r="AC7" i="2039" s="1"/>
  <c r="AF6" i="2039"/>
  <c r="AB6" i="2039"/>
  <c r="Q6" i="2039"/>
  <c r="O6" i="2039"/>
  <c r="M6" i="2039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1" i="2038"/>
  <c r="O21" i="2038" s="1"/>
  <c r="L20" i="2038"/>
  <c r="L19" i="2038"/>
  <c r="K19" i="2038"/>
  <c r="L17" i="2038"/>
  <c r="AB17" i="2038" s="1"/>
  <c r="K17" i="2038"/>
  <c r="AF17" i="2038"/>
  <c r="Q17" i="2038"/>
  <c r="P17" i="2038" s="1"/>
  <c r="AC17" i="2038" s="1"/>
  <c r="O17" i="2038"/>
  <c r="M17" i="2038"/>
  <c r="L13" i="2038"/>
  <c r="K13" i="2038"/>
  <c r="L10" i="2038"/>
  <c r="K10" i="2038" s="1"/>
  <c r="L9" i="2038"/>
  <c r="K9" i="2038" s="1"/>
  <c r="L8" i="2038"/>
  <c r="L7" i="2038"/>
  <c r="AB7" i="2038" s="1"/>
  <c r="L6" i="2038"/>
  <c r="K6" i="2038" s="1"/>
  <c r="L28" i="2038"/>
  <c r="K28" i="2038" s="1"/>
  <c r="K21" i="2038"/>
  <c r="K20" i="2038"/>
  <c r="K16" i="2038"/>
  <c r="K12" i="2038"/>
  <c r="K11" i="2038"/>
  <c r="K8" i="2038"/>
  <c r="K7" i="2038"/>
  <c r="A84" i="2038"/>
  <c r="A85" i="2038" s="1"/>
  <c r="A86" i="2038" s="1"/>
  <c r="A87" i="2038" s="1"/>
  <c r="A88" i="2038" s="1"/>
  <c r="A89" i="2038" s="1"/>
  <c r="AF68" i="2038"/>
  <c r="AF67" i="2038"/>
  <c r="AA29" i="2038"/>
  <c r="Z29" i="2038"/>
  <c r="Y29" i="2038"/>
  <c r="X29" i="2038"/>
  <c r="W29" i="2038"/>
  <c r="V29" i="2038"/>
  <c r="U29" i="2038"/>
  <c r="T29" i="2038"/>
  <c r="S29" i="2038"/>
  <c r="R29" i="2038"/>
  <c r="N29" i="2038"/>
  <c r="J29" i="2038"/>
  <c r="I29" i="2038"/>
  <c r="AF28" i="2038"/>
  <c r="Q28" i="2038"/>
  <c r="O28" i="2038"/>
  <c r="AF27" i="2038"/>
  <c r="AB27" i="2038"/>
  <c r="Q27" i="2038"/>
  <c r="P27" i="2038"/>
  <c r="AC27" i="2038" s="1"/>
  <c r="O27" i="2038"/>
  <c r="M27" i="2038"/>
  <c r="K27" i="2038"/>
  <c r="AF26" i="2038"/>
  <c r="AB26" i="2038"/>
  <c r="Q26" i="2038"/>
  <c r="P26" i="2038"/>
  <c r="AC26" i="2038" s="1"/>
  <c r="O26" i="2038"/>
  <c r="M26" i="2038"/>
  <c r="K26" i="2038"/>
  <c r="AF25" i="2038"/>
  <c r="AB25" i="2038"/>
  <c r="Q25" i="2038"/>
  <c r="P25" i="2038"/>
  <c r="AC25" i="2038" s="1"/>
  <c r="AD25" i="2038" s="1"/>
  <c r="O25" i="2038"/>
  <c r="M25" i="2038"/>
  <c r="K25" i="2038"/>
  <c r="AF24" i="2038"/>
  <c r="AB24" i="2038"/>
  <c r="Q24" i="2038"/>
  <c r="P24" i="2038"/>
  <c r="AC24" i="2038" s="1"/>
  <c r="O24" i="2038"/>
  <c r="M24" i="2038"/>
  <c r="K24" i="2038"/>
  <c r="AF23" i="2038"/>
  <c r="AB23" i="2038"/>
  <c r="Q23" i="2038"/>
  <c r="P23" i="2038"/>
  <c r="AC23" i="2038" s="1"/>
  <c r="AD23" i="2038" s="1"/>
  <c r="O23" i="2038"/>
  <c r="M23" i="2038"/>
  <c r="K23" i="2038"/>
  <c r="AF22" i="2038"/>
  <c r="AB22" i="2038"/>
  <c r="Q22" i="2038"/>
  <c r="P22" i="2038"/>
  <c r="AC22" i="2038" s="1"/>
  <c r="O22" i="2038"/>
  <c r="M22" i="2038"/>
  <c r="K22" i="2038"/>
  <c r="AF21" i="2038"/>
  <c r="AB21" i="2038"/>
  <c r="Q21" i="2038"/>
  <c r="P21" i="2038"/>
  <c r="AC21" i="2038" s="1"/>
  <c r="M21" i="2038"/>
  <c r="AF20" i="2038"/>
  <c r="Q20" i="2038"/>
  <c r="O20" i="2038"/>
  <c r="AF19" i="2038"/>
  <c r="Q19" i="2038"/>
  <c r="P19" i="2038" s="1"/>
  <c r="AC19" i="2038" s="1"/>
  <c r="AB19" i="2038"/>
  <c r="AF18" i="2038"/>
  <c r="AB18" i="2038"/>
  <c r="Q18" i="2038"/>
  <c r="P18" i="2038"/>
  <c r="AC18" i="2038" s="1"/>
  <c r="AD18" i="2038" s="1"/>
  <c r="O18" i="2038"/>
  <c r="M18" i="2038"/>
  <c r="K18" i="2038"/>
  <c r="AF16" i="2038"/>
  <c r="Q16" i="2038"/>
  <c r="O16" i="2038"/>
  <c r="AF15" i="2038"/>
  <c r="AB15" i="2038"/>
  <c r="Q15" i="2038"/>
  <c r="P15" i="2038"/>
  <c r="AC15" i="2038" s="1"/>
  <c r="O15" i="2038"/>
  <c r="M15" i="2038"/>
  <c r="K15" i="2038"/>
  <c r="AF14" i="2038"/>
  <c r="AB14" i="2038"/>
  <c r="Q14" i="2038"/>
  <c r="P14" i="2038"/>
  <c r="AC14" i="2038" s="1"/>
  <c r="AD14" i="2038" s="1"/>
  <c r="O14" i="2038"/>
  <c r="M14" i="2038"/>
  <c r="K14" i="2038"/>
  <c r="AF13" i="2038"/>
  <c r="Q13" i="2038"/>
  <c r="P13" i="2038" s="1"/>
  <c r="AC13" i="2038" s="1"/>
  <c r="AB13" i="2038"/>
  <c r="AF12" i="2038"/>
  <c r="Q12" i="2038"/>
  <c r="P12" i="2038"/>
  <c r="AC12" i="2038" s="1"/>
  <c r="O12" i="2038"/>
  <c r="AB12" i="2038"/>
  <c r="AF11" i="2038"/>
  <c r="AB11" i="2038"/>
  <c r="Q11" i="2038"/>
  <c r="P11" i="2038" s="1"/>
  <c r="AC11" i="2038" s="1"/>
  <c r="O11" i="2038"/>
  <c r="M11" i="2038"/>
  <c r="AF10" i="2038"/>
  <c r="Q10" i="2038"/>
  <c r="O10" i="2038"/>
  <c r="AF9" i="2038"/>
  <c r="Q9" i="2038"/>
  <c r="P9" i="2038"/>
  <c r="AC9" i="2038" s="1"/>
  <c r="AF8" i="2038"/>
  <c r="Q8" i="2038"/>
  <c r="P8" i="2038" s="1"/>
  <c r="AC8" i="2038" s="1"/>
  <c r="O8" i="2038"/>
  <c r="AB8" i="2038"/>
  <c r="AF7" i="2038"/>
  <c r="Q7" i="2038"/>
  <c r="O7" i="2038"/>
  <c r="AF6" i="2038"/>
  <c r="AB6" i="2038"/>
  <c r="Q6" i="2038"/>
  <c r="M6" i="2038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0" i="2037"/>
  <c r="L19" i="2037"/>
  <c r="K19" i="2037"/>
  <c r="L18" i="2037"/>
  <c r="K18" i="2037" s="1"/>
  <c r="L16" i="2037"/>
  <c r="K16" i="2037" s="1"/>
  <c r="L13" i="2037"/>
  <c r="AB28" i="2041" l="1"/>
  <c r="M28" i="2041"/>
  <c r="AD6" i="2041"/>
  <c r="AD28" i="2041" s="1"/>
  <c r="AC28" i="2041"/>
  <c r="AD7" i="2040"/>
  <c r="P28" i="2040"/>
  <c r="AD27" i="2040"/>
  <c r="AB28" i="2040"/>
  <c r="M28" i="2040"/>
  <c r="AD6" i="2040"/>
  <c r="AD28" i="2040" s="1"/>
  <c r="AD27" i="2039"/>
  <c r="AB9" i="2039"/>
  <c r="AD11" i="2039"/>
  <c r="AD22" i="2039"/>
  <c r="AD26" i="2039"/>
  <c r="O9" i="2039"/>
  <c r="AD17" i="2039"/>
  <c r="AD21" i="2039"/>
  <c r="AD25" i="2039"/>
  <c r="O16" i="2039"/>
  <c r="AD16" i="2039" s="1"/>
  <c r="P13" i="2039"/>
  <c r="AC13" i="2039" s="1"/>
  <c r="Q28" i="2039"/>
  <c r="AD8" i="2039"/>
  <c r="P6" i="2039"/>
  <c r="AC6" i="2039" s="1"/>
  <c r="AD15" i="2039"/>
  <c r="AD10" i="2039"/>
  <c r="AD19" i="2039"/>
  <c r="AD6" i="2039"/>
  <c r="L28" i="2039"/>
  <c r="O28" i="2039" s="1"/>
  <c r="M7" i="2039"/>
  <c r="AB7" i="2039"/>
  <c r="P9" i="2039"/>
  <c r="AC9" i="2039" s="1"/>
  <c r="AD9" i="2039" s="1"/>
  <c r="M13" i="2039"/>
  <c r="AB13" i="2039"/>
  <c r="P18" i="2039"/>
  <c r="AC18" i="2039" s="1"/>
  <c r="AD18" i="2039" s="1"/>
  <c r="M20" i="2039"/>
  <c r="AB20" i="2039"/>
  <c r="O7" i="2039"/>
  <c r="O13" i="2039"/>
  <c r="O20" i="2039"/>
  <c r="K28" i="2039"/>
  <c r="M9" i="2039"/>
  <c r="M18" i="2039"/>
  <c r="AD17" i="2038"/>
  <c r="P7" i="2038"/>
  <c r="AC7" i="2038" s="1"/>
  <c r="AD27" i="2038"/>
  <c r="AF70" i="2038"/>
  <c r="AD26" i="2038"/>
  <c r="Q29" i="2038"/>
  <c r="AD11" i="2038"/>
  <c r="L29" i="2038"/>
  <c r="O29" i="2038" s="1"/>
  <c r="AB9" i="2038"/>
  <c r="AD7" i="2038"/>
  <c r="M7" i="2038"/>
  <c r="O6" i="2038"/>
  <c r="P28" i="2038"/>
  <c r="AC28" i="2038" s="1"/>
  <c r="AD21" i="2038"/>
  <c r="AD24" i="2038"/>
  <c r="AD15" i="2038"/>
  <c r="AD22" i="2038"/>
  <c r="AD8" i="2038"/>
  <c r="AD12" i="2038"/>
  <c r="M10" i="2038"/>
  <c r="M16" i="2038"/>
  <c r="M20" i="2038"/>
  <c r="P6" i="2038"/>
  <c r="M8" i="2038"/>
  <c r="O9" i="2038"/>
  <c r="AD9" i="2038" s="1"/>
  <c r="P10" i="2038"/>
  <c r="AC10" i="2038" s="1"/>
  <c r="M12" i="2038"/>
  <c r="O13" i="2038"/>
  <c r="AD13" i="2038" s="1"/>
  <c r="P16" i="2038"/>
  <c r="AC16" i="2038" s="1"/>
  <c r="O19" i="2038"/>
  <c r="AD19" i="2038" s="1"/>
  <c r="K29" i="2038"/>
  <c r="P20" i="2038"/>
  <c r="AC20" i="2038" s="1"/>
  <c r="M28" i="2038"/>
  <c r="AB28" i="2038"/>
  <c r="AB16" i="2038"/>
  <c r="AB10" i="2038"/>
  <c r="AB20" i="2038"/>
  <c r="M9" i="2038"/>
  <c r="M13" i="2038"/>
  <c r="M19" i="2038"/>
  <c r="L12" i="2037"/>
  <c r="K12" i="2037" s="1"/>
  <c r="L11" i="2037"/>
  <c r="K11" i="2037" s="1"/>
  <c r="L10" i="2037"/>
  <c r="P10" i="2037" s="1"/>
  <c r="AC10" i="2037" s="1"/>
  <c r="L9" i="2037"/>
  <c r="L8" i="2037"/>
  <c r="AB8" i="2037" s="1"/>
  <c r="L7" i="2037"/>
  <c r="L27" i="2037"/>
  <c r="K27" i="2037" s="1"/>
  <c r="K21" i="2037"/>
  <c r="K20" i="2037"/>
  <c r="K13" i="2037"/>
  <c r="K9" i="2037"/>
  <c r="K7" i="2037"/>
  <c r="K6" i="2037"/>
  <c r="A83" i="2037"/>
  <c r="A84" i="2037" s="1"/>
  <c r="A85" i="2037" s="1"/>
  <c r="A86" i="2037" s="1"/>
  <c r="A87" i="2037" s="1"/>
  <c r="A88" i="2037" s="1"/>
  <c r="AF67" i="2037"/>
  <c r="AF69" i="2037" s="1"/>
  <c r="AF66" i="2037"/>
  <c r="AA28" i="2037"/>
  <c r="Z28" i="2037"/>
  <c r="Y28" i="2037"/>
  <c r="X28" i="2037"/>
  <c r="W28" i="2037"/>
  <c r="V28" i="2037"/>
  <c r="U28" i="2037"/>
  <c r="T28" i="2037"/>
  <c r="S28" i="2037"/>
  <c r="R28" i="2037"/>
  <c r="N28" i="2037"/>
  <c r="J28" i="2037"/>
  <c r="I28" i="2037"/>
  <c r="AF27" i="2037"/>
  <c r="AB27" i="2037"/>
  <c r="Q27" i="2037"/>
  <c r="P27" i="2037" s="1"/>
  <c r="AC27" i="2037" s="1"/>
  <c r="O27" i="2037"/>
  <c r="M27" i="2037"/>
  <c r="AF26" i="2037"/>
  <c r="AB26" i="2037"/>
  <c r="Q26" i="2037"/>
  <c r="P26" i="2037"/>
  <c r="AC26" i="2037" s="1"/>
  <c r="O26" i="2037"/>
  <c r="M26" i="2037"/>
  <c r="K26" i="2037"/>
  <c r="AF25" i="2037"/>
  <c r="AB25" i="2037"/>
  <c r="Q25" i="2037"/>
  <c r="P25" i="2037"/>
  <c r="AC25" i="2037" s="1"/>
  <c r="O25" i="2037"/>
  <c r="M25" i="2037"/>
  <c r="K25" i="2037"/>
  <c r="AF24" i="2037"/>
  <c r="AB24" i="2037"/>
  <c r="Q24" i="2037"/>
  <c r="P24" i="2037"/>
  <c r="AC24" i="2037" s="1"/>
  <c r="O24" i="2037"/>
  <c r="M24" i="2037"/>
  <c r="K24" i="2037"/>
  <c r="AF23" i="2037"/>
  <c r="AB23" i="2037"/>
  <c r="Q23" i="2037"/>
  <c r="P23" i="2037"/>
  <c r="AC23" i="2037" s="1"/>
  <c r="AD23" i="2037" s="1"/>
  <c r="O23" i="2037"/>
  <c r="M23" i="2037"/>
  <c r="K23" i="2037"/>
  <c r="AF22" i="2037"/>
  <c r="AB22" i="2037"/>
  <c r="Q22" i="2037"/>
  <c r="P22" i="2037"/>
  <c r="AC22" i="2037" s="1"/>
  <c r="O22" i="2037"/>
  <c r="M22" i="2037"/>
  <c r="K22" i="2037"/>
  <c r="AF21" i="2037"/>
  <c r="Q21" i="2037"/>
  <c r="P21" i="2037"/>
  <c r="AC21" i="2037" s="1"/>
  <c r="O21" i="2037"/>
  <c r="AB21" i="2037"/>
  <c r="AF20" i="2037"/>
  <c r="AB20" i="2037"/>
  <c r="Q20" i="2037"/>
  <c r="O20" i="2037"/>
  <c r="M20" i="2037"/>
  <c r="P20" i="2037"/>
  <c r="AC20" i="2037" s="1"/>
  <c r="AF19" i="2037"/>
  <c r="Q19" i="2037"/>
  <c r="P19" i="2037" s="1"/>
  <c r="AC19" i="2037" s="1"/>
  <c r="AF18" i="2037"/>
  <c r="Q18" i="2037"/>
  <c r="P18" i="2037" s="1"/>
  <c r="AC18" i="2037" s="1"/>
  <c r="O18" i="2037"/>
  <c r="AF17" i="2037"/>
  <c r="AB17" i="2037"/>
  <c r="Q17" i="2037"/>
  <c r="P17" i="2037"/>
  <c r="AC17" i="2037" s="1"/>
  <c r="AD17" i="2037" s="1"/>
  <c r="O17" i="2037"/>
  <c r="M17" i="2037"/>
  <c r="K17" i="2037"/>
  <c r="AF16" i="2037"/>
  <c r="Q16" i="2037"/>
  <c r="P16" i="2037"/>
  <c r="AC16" i="2037" s="1"/>
  <c r="AF15" i="2037"/>
  <c r="AB15" i="2037"/>
  <c r="Q15" i="2037"/>
  <c r="P15" i="2037"/>
  <c r="AC15" i="2037" s="1"/>
  <c r="O15" i="2037"/>
  <c r="M15" i="2037"/>
  <c r="K15" i="2037"/>
  <c r="AF14" i="2037"/>
  <c r="AB14" i="2037"/>
  <c r="Q14" i="2037"/>
  <c r="P14" i="2037"/>
  <c r="AC14" i="2037" s="1"/>
  <c r="O14" i="2037"/>
  <c r="M14" i="2037"/>
  <c r="K14" i="2037"/>
  <c r="AF13" i="2037"/>
  <c r="Q13" i="2037"/>
  <c r="P13" i="2037" s="1"/>
  <c r="AC13" i="2037" s="1"/>
  <c r="O13" i="2037"/>
  <c r="AF12" i="2037"/>
  <c r="AB12" i="2037"/>
  <c r="Q12" i="2037"/>
  <c r="P12" i="2037" s="1"/>
  <c r="AC12" i="2037" s="1"/>
  <c r="AD12" i="2037" s="1"/>
  <c r="O12" i="2037"/>
  <c r="M12" i="2037"/>
  <c r="AF11" i="2037"/>
  <c r="AB11" i="2037"/>
  <c r="Q11" i="2037"/>
  <c r="P11" i="2037" s="1"/>
  <c r="AC11" i="2037" s="1"/>
  <c r="O11" i="2037"/>
  <c r="M11" i="2037"/>
  <c r="AF10" i="2037"/>
  <c r="Q10" i="2037"/>
  <c r="AF9" i="2037"/>
  <c r="Q9" i="2037"/>
  <c r="P9" i="2037"/>
  <c r="AC9" i="2037" s="1"/>
  <c r="O9" i="2037"/>
  <c r="AB9" i="2037"/>
  <c r="AF8" i="2037"/>
  <c r="Q8" i="2037"/>
  <c r="M8" i="2037"/>
  <c r="AF7" i="2037"/>
  <c r="Q7" i="2037"/>
  <c r="P7" i="2037"/>
  <c r="AC7" i="2037" s="1"/>
  <c r="AF6" i="2037"/>
  <c r="AB6" i="2037"/>
  <c r="Q6" i="2037"/>
  <c r="O6" i="2037"/>
  <c r="M6" i="2037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2" i="2036"/>
  <c r="K22" i="2036" s="1"/>
  <c r="L21" i="2036"/>
  <c r="K21" i="2036" s="1"/>
  <c r="L20" i="2036"/>
  <c r="K20" i="2036" s="1"/>
  <c r="L19" i="2036"/>
  <c r="AB19" i="2036" s="1"/>
  <c r="K19" i="2036"/>
  <c r="L17" i="2036"/>
  <c r="L14" i="2036"/>
  <c r="L11" i="2036"/>
  <c r="L10" i="2036"/>
  <c r="P10" i="2036" s="1"/>
  <c r="AC10" i="2036" s="1"/>
  <c r="L9" i="2036"/>
  <c r="O9" i="2036" s="1"/>
  <c r="L8" i="2036"/>
  <c r="AB8" i="2036" s="1"/>
  <c r="K7" i="2036"/>
  <c r="AF7" i="2036"/>
  <c r="AB7" i="2036"/>
  <c r="Q7" i="2036"/>
  <c r="P7" i="2036" s="1"/>
  <c r="AC7" i="2036" s="1"/>
  <c r="O7" i="2036"/>
  <c r="M7" i="2036"/>
  <c r="L28" i="2036"/>
  <c r="K28" i="2036"/>
  <c r="K17" i="2036"/>
  <c r="K14" i="2036"/>
  <c r="K13" i="2036"/>
  <c r="K12" i="2036"/>
  <c r="K11" i="2036"/>
  <c r="K10" i="2036"/>
  <c r="K9" i="2036"/>
  <c r="K8" i="2036"/>
  <c r="K6" i="2036"/>
  <c r="A84" i="2036"/>
  <c r="A85" i="2036" s="1"/>
  <c r="A86" i="2036" s="1"/>
  <c r="A87" i="2036" s="1"/>
  <c r="A88" i="2036" s="1"/>
  <c r="A89" i="2036" s="1"/>
  <c r="AF68" i="2036"/>
  <c r="AF67" i="2036"/>
  <c r="AF70" i="2036" s="1"/>
  <c r="AA29" i="2036"/>
  <c r="Z29" i="2036"/>
  <c r="Y29" i="2036"/>
  <c r="X29" i="2036"/>
  <c r="W29" i="2036"/>
  <c r="V29" i="2036"/>
  <c r="U29" i="2036"/>
  <c r="T29" i="2036"/>
  <c r="S29" i="2036"/>
  <c r="R29" i="2036"/>
  <c r="N29" i="2036"/>
  <c r="J29" i="2036"/>
  <c r="AF28" i="2036"/>
  <c r="Q28" i="2036"/>
  <c r="O28" i="2036"/>
  <c r="AF27" i="2036"/>
  <c r="AB27" i="2036"/>
  <c r="Q27" i="2036"/>
  <c r="P27" i="2036"/>
  <c r="AC27" i="2036" s="1"/>
  <c r="O27" i="2036"/>
  <c r="M27" i="2036"/>
  <c r="K27" i="2036"/>
  <c r="AF26" i="2036"/>
  <c r="AB26" i="2036"/>
  <c r="Q26" i="2036"/>
  <c r="P26" i="2036"/>
  <c r="AC26" i="2036" s="1"/>
  <c r="O26" i="2036"/>
  <c r="M26" i="2036"/>
  <c r="K26" i="2036"/>
  <c r="AF25" i="2036"/>
  <c r="AB25" i="2036"/>
  <c r="Q25" i="2036"/>
  <c r="P25" i="2036"/>
  <c r="AC25" i="2036" s="1"/>
  <c r="O25" i="2036"/>
  <c r="M25" i="2036"/>
  <c r="K25" i="2036"/>
  <c r="AF24" i="2036"/>
  <c r="AB24" i="2036"/>
  <c r="Q24" i="2036"/>
  <c r="P24" i="2036"/>
  <c r="AC24" i="2036" s="1"/>
  <c r="O24" i="2036"/>
  <c r="M24" i="2036"/>
  <c r="K24" i="2036"/>
  <c r="AF23" i="2036"/>
  <c r="AB23" i="2036"/>
  <c r="Q23" i="2036"/>
  <c r="P23" i="2036"/>
  <c r="AC23" i="2036" s="1"/>
  <c r="AD23" i="2036" s="1"/>
  <c r="O23" i="2036"/>
  <c r="M23" i="2036"/>
  <c r="K23" i="2036"/>
  <c r="AF22" i="2036"/>
  <c r="Q22" i="2036"/>
  <c r="AB22" i="2036"/>
  <c r="AF21" i="2036"/>
  <c r="Q21" i="2036"/>
  <c r="O21" i="2036"/>
  <c r="AF20" i="2036"/>
  <c r="Q20" i="2036"/>
  <c r="P20" i="2036" s="1"/>
  <c r="AC20" i="2036" s="1"/>
  <c r="O20" i="2036"/>
  <c r="AB20" i="2036"/>
  <c r="AF19" i="2036"/>
  <c r="Q19" i="2036"/>
  <c r="O19" i="2036"/>
  <c r="M19" i="2036"/>
  <c r="AF18" i="2036"/>
  <c r="AB18" i="2036"/>
  <c r="Q18" i="2036"/>
  <c r="P18" i="2036"/>
  <c r="AC18" i="2036" s="1"/>
  <c r="O18" i="2036"/>
  <c r="M18" i="2036"/>
  <c r="K18" i="2036"/>
  <c r="AF17" i="2036"/>
  <c r="AB17" i="2036"/>
  <c r="Q17" i="2036"/>
  <c r="P17" i="2036"/>
  <c r="AC17" i="2036" s="1"/>
  <c r="O17" i="2036"/>
  <c r="M17" i="2036"/>
  <c r="AF16" i="2036"/>
  <c r="AC16" i="2036"/>
  <c r="AB16" i="2036"/>
  <c r="Q16" i="2036"/>
  <c r="P16" i="2036"/>
  <c r="O16" i="2036"/>
  <c r="M16" i="2036"/>
  <c r="K16" i="2036"/>
  <c r="AF15" i="2036"/>
  <c r="AB15" i="2036"/>
  <c r="Q15" i="2036"/>
  <c r="P15" i="2036"/>
  <c r="AC15" i="2036" s="1"/>
  <c r="AD15" i="2036" s="1"/>
  <c r="O15" i="2036"/>
  <c r="M15" i="2036"/>
  <c r="K15" i="2036"/>
  <c r="AF14" i="2036"/>
  <c r="AB14" i="2036"/>
  <c r="Q14" i="2036"/>
  <c r="O14" i="2036"/>
  <c r="M14" i="2036"/>
  <c r="P14" i="2036"/>
  <c r="AC14" i="2036" s="1"/>
  <c r="AF13" i="2036"/>
  <c r="Q13" i="2036"/>
  <c r="AB13" i="2036"/>
  <c r="AF12" i="2036"/>
  <c r="Q12" i="2036"/>
  <c r="P12" i="2036"/>
  <c r="AC12" i="2036" s="1"/>
  <c r="O12" i="2036"/>
  <c r="I12" i="2036"/>
  <c r="I29" i="2036" s="1"/>
  <c r="AF11" i="2036"/>
  <c r="Q11" i="2036"/>
  <c r="P11" i="2036"/>
  <c r="AC11" i="2036" s="1"/>
  <c r="O11" i="2036"/>
  <c r="AF10" i="2036"/>
  <c r="AB10" i="2036"/>
  <c r="Q10" i="2036"/>
  <c r="M10" i="2036"/>
  <c r="AF9" i="2036"/>
  <c r="AB9" i="2036"/>
  <c r="Q9" i="2036"/>
  <c r="P9" i="2036" s="1"/>
  <c r="AC9" i="2036" s="1"/>
  <c r="M9" i="2036"/>
  <c r="AF8" i="2036"/>
  <c r="Q8" i="2036"/>
  <c r="AF6" i="2036"/>
  <c r="Q6" i="2036"/>
  <c r="P6" i="2036"/>
  <c r="AC6" i="2036" s="1"/>
  <c r="O6" i="203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1" i="2035"/>
  <c r="L20" i="2035"/>
  <c r="L19" i="2035"/>
  <c r="L18" i="2035"/>
  <c r="K18" i="2035" s="1"/>
  <c r="L16" i="2035"/>
  <c r="K16" i="2035" s="1"/>
  <c r="L13" i="2035"/>
  <c r="L12" i="2035"/>
  <c r="L11" i="2035"/>
  <c r="L10" i="2035"/>
  <c r="L9" i="2035"/>
  <c r="L8" i="2035"/>
  <c r="L7" i="2035"/>
  <c r="L6" i="2035"/>
  <c r="K6" i="2035" s="1"/>
  <c r="L27" i="2035"/>
  <c r="K27" i="2035" s="1"/>
  <c r="AE27" i="2041" l="1"/>
  <c r="AE20" i="2041"/>
  <c r="AE12" i="2041"/>
  <c r="AE10" i="2041"/>
  <c r="AE7" i="2041"/>
  <c r="AE9" i="2041"/>
  <c r="AE26" i="2041"/>
  <c r="AE22" i="2041"/>
  <c r="AE6" i="2041"/>
  <c r="AE25" i="2041"/>
  <c r="AE23" i="2041"/>
  <c r="AE21" i="2041"/>
  <c r="AE17" i="2041"/>
  <c r="AE15" i="2041"/>
  <c r="AE13" i="2041"/>
  <c r="AE8" i="2041"/>
  <c r="AE11" i="2041"/>
  <c r="AE19" i="2041"/>
  <c r="AE16" i="2041"/>
  <c r="AE14" i="2041"/>
  <c r="AE18" i="2041"/>
  <c r="AE24" i="2041"/>
  <c r="AE27" i="2040"/>
  <c r="AE17" i="2040"/>
  <c r="AE12" i="2040"/>
  <c r="AE10" i="2040"/>
  <c r="AE25" i="2040"/>
  <c r="AE23" i="2040"/>
  <c r="AE21" i="2040"/>
  <c r="AE18" i="2040"/>
  <c r="AE15" i="2040"/>
  <c r="AE13" i="2040"/>
  <c r="AE8" i="2040"/>
  <c r="AE24" i="2040"/>
  <c r="AE22" i="2040"/>
  <c r="AE14" i="2040"/>
  <c r="AE7" i="2040"/>
  <c r="AE19" i="2040"/>
  <c r="AE16" i="2040"/>
  <c r="AE11" i="2040"/>
  <c r="AE9" i="2040"/>
  <c r="AE26" i="2040"/>
  <c r="AE20" i="2040"/>
  <c r="AE6" i="2040"/>
  <c r="AD20" i="2039"/>
  <c r="AB28" i="2039"/>
  <c r="AD7" i="2039"/>
  <c r="M28" i="2039"/>
  <c r="AD13" i="2039"/>
  <c r="AC28" i="2039"/>
  <c r="P28" i="2039"/>
  <c r="AD28" i="2038"/>
  <c r="AB29" i="2038"/>
  <c r="AD20" i="2038"/>
  <c r="M29" i="2038"/>
  <c r="AD16" i="2038"/>
  <c r="AD10" i="2038"/>
  <c r="P29" i="2038"/>
  <c r="AC6" i="2038"/>
  <c r="Q28" i="2037"/>
  <c r="O10" i="2037"/>
  <c r="K10" i="2037"/>
  <c r="K28" i="2037" s="1"/>
  <c r="O8" i="2037"/>
  <c r="K8" i="2037"/>
  <c r="P8" i="2037"/>
  <c r="AC8" i="2037" s="1"/>
  <c r="P6" i="2037"/>
  <c r="AC6" i="2037" s="1"/>
  <c r="AD6" i="2037" s="1"/>
  <c r="AD8" i="2037"/>
  <c r="AD14" i="2037"/>
  <c r="AD20" i="2037"/>
  <c r="AD11" i="2037"/>
  <c r="AD22" i="2037"/>
  <c r="AD26" i="2037"/>
  <c r="AD27" i="2037"/>
  <c r="AD25" i="2037"/>
  <c r="AD15" i="2037"/>
  <c r="AD24" i="2037"/>
  <c r="AD21" i="2037"/>
  <c r="AD9" i="2037"/>
  <c r="L28" i="2037"/>
  <c r="O28" i="2037" s="1"/>
  <c r="M7" i="2037"/>
  <c r="AB7" i="2037"/>
  <c r="M16" i="2037"/>
  <c r="AB16" i="2037"/>
  <c r="M19" i="2037"/>
  <c r="AB19" i="2037"/>
  <c r="O7" i="2037"/>
  <c r="M10" i="2037"/>
  <c r="AB10" i="2037"/>
  <c r="M13" i="2037"/>
  <c r="AB13" i="2037"/>
  <c r="AD13" i="2037" s="1"/>
  <c r="O16" i="2037"/>
  <c r="M18" i="2037"/>
  <c r="AB18" i="2037"/>
  <c r="AD18" i="2037" s="1"/>
  <c r="O19" i="2037"/>
  <c r="M9" i="2037"/>
  <c r="M21" i="2037"/>
  <c r="P21" i="2036"/>
  <c r="AC21" i="2036" s="1"/>
  <c r="P19" i="2036"/>
  <c r="AC19" i="2036" s="1"/>
  <c r="AD19" i="2036" s="1"/>
  <c r="O10" i="2036"/>
  <c r="AD10" i="2036" s="1"/>
  <c r="AD7" i="2036"/>
  <c r="P28" i="2036"/>
  <c r="AC28" i="2036" s="1"/>
  <c r="Q29" i="2036"/>
  <c r="AD24" i="2036"/>
  <c r="AD27" i="2036"/>
  <c r="AD9" i="2036"/>
  <c r="AD16" i="2036"/>
  <c r="AD18" i="2036"/>
  <c r="AD25" i="2036"/>
  <c r="AD17" i="2036"/>
  <c r="AD14" i="2036"/>
  <c r="AD26" i="2036"/>
  <c r="AD20" i="2036"/>
  <c r="M6" i="2036"/>
  <c r="AB6" i="2036"/>
  <c r="AD6" i="2036" s="1"/>
  <c r="O8" i="2036"/>
  <c r="M11" i="2036"/>
  <c r="AB11" i="2036"/>
  <c r="AD11" i="2036" s="1"/>
  <c r="M12" i="2036"/>
  <c r="AB12" i="2036"/>
  <c r="AD12" i="2036" s="1"/>
  <c r="O13" i="2036"/>
  <c r="M21" i="2036"/>
  <c r="AB21" i="2036"/>
  <c r="O22" i="2036"/>
  <c r="M28" i="2036"/>
  <c r="AB28" i="2036"/>
  <c r="AD28" i="2036" s="1"/>
  <c r="L29" i="2036"/>
  <c r="O29" i="2036" s="1"/>
  <c r="K29" i="2036"/>
  <c r="P8" i="2036"/>
  <c r="AC8" i="2036" s="1"/>
  <c r="P13" i="2036"/>
  <c r="AC13" i="2036" s="1"/>
  <c r="AD13" i="2036" s="1"/>
  <c r="M20" i="2036"/>
  <c r="P22" i="2036"/>
  <c r="AC22" i="2036" s="1"/>
  <c r="AD22" i="2036" s="1"/>
  <c r="M8" i="2036"/>
  <c r="M13" i="2036"/>
  <c r="M22" i="2036"/>
  <c r="AD28" i="2039" l="1"/>
  <c r="AE17" i="2039" s="1"/>
  <c r="AC29" i="2038"/>
  <c r="AD6" i="2038"/>
  <c r="AD29" i="2038" s="1"/>
  <c r="AE17" i="2038" s="1"/>
  <c r="AD10" i="2037"/>
  <c r="P28" i="2037"/>
  <c r="AD19" i="2037"/>
  <c r="AD7" i="2037"/>
  <c r="AD16" i="2037"/>
  <c r="M28" i="2037"/>
  <c r="AB28" i="2037"/>
  <c r="AC28" i="2037"/>
  <c r="AD21" i="2036"/>
  <c r="AD29" i="2036" s="1"/>
  <c r="AE7" i="2036" s="1"/>
  <c r="AD8" i="2036"/>
  <c r="M29" i="2036"/>
  <c r="AC29" i="2036"/>
  <c r="P29" i="2036"/>
  <c r="AB29" i="2036"/>
  <c r="AE26" i="2039" l="1"/>
  <c r="AE14" i="2039"/>
  <c r="AE7" i="2039"/>
  <c r="AE12" i="2039"/>
  <c r="AE13" i="2039"/>
  <c r="AE16" i="2039"/>
  <c r="AE21" i="2039"/>
  <c r="AE25" i="2039"/>
  <c r="AE24" i="2039"/>
  <c r="AE9" i="2039"/>
  <c r="AE27" i="2039"/>
  <c r="AE20" i="2039"/>
  <c r="AE6" i="2039"/>
  <c r="AE19" i="2039"/>
  <c r="AE18" i="2039"/>
  <c r="AE8" i="2039"/>
  <c r="AE22" i="2039"/>
  <c r="AE10" i="2039"/>
  <c r="AE15" i="2039"/>
  <c r="AE23" i="2039"/>
  <c r="AE11" i="2039"/>
  <c r="AE28" i="2038"/>
  <c r="AE18" i="2038"/>
  <c r="AE12" i="2038"/>
  <c r="AE8" i="2038"/>
  <c r="AE13" i="2038"/>
  <c r="AE16" i="2038"/>
  <c r="AE22" i="2038"/>
  <c r="AE19" i="2038"/>
  <c r="AE9" i="2038"/>
  <c r="AE20" i="2038"/>
  <c r="AE10" i="2038"/>
  <c r="AE6" i="2038"/>
  <c r="AE27" i="2038"/>
  <c r="AE25" i="2038"/>
  <c r="AE23" i="2038"/>
  <c r="AE21" i="2038"/>
  <c r="AE14" i="2038"/>
  <c r="AE11" i="2038"/>
  <c r="AE7" i="2038"/>
  <c r="AE26" i="2038"/>
  <c r="AE24" i="2038"/>
  <c r="AE15" i="2038"/>
  <c r="AD28" i="2037"/>
  <c r="AE27" i="2037" s="1"/>
  <c r="AE28" i="2036"/>
  <c r="AE21" i="2036"/>
  <c r="AE15" i="2036"/>
  <c r="AE12" i="2036"/>
  <c r="AE11" i="2036"/>
  <c r="AE6" i="2036"/>
  <c r="AE22" i="2036"/>
  <c r="AE8" i="2036"/>
  <c r="AE19" i="2036"/>
  <c r="AE16" i="2036"/>
  <c r="AE14" i="2036"/>
  <c r="AE9" i="2036"/>
  <c r="AE26" i="2036"/>
  <c r="AE24" i="2036"/>
  <c r="AE27" i="2036"/>
  <c r="AE25" i="2036"/>
  <c r="AE23" i="2036"/>
  <c r="AE20" i="2036"/>
  <c r="AE17" i="2036"/>
  <c r="AE10" i="2036"/>
  <c r="AE18" i="2036"/>
  <c r="AE13" i="2036"/>
  <c r="AE22" i="2037" l="1"/>
  <c r="AE13" i="2037"/>
  <c r="AE23" i="2037"/>
  <c r="AE24" i="2037"/>
  <c r="AE6" i="2037"/>
  <c r="AE9" i="2037"/>
  <c r="AE8" i="2037"/>
  <c r="AE11" i="2037"/>
  <c r="AE18" i="2037"/>
  <c r="AE25" i="2037"/>
  <c r="AE16" i="2037"/>
  <c r="AE19" i="2037"/>
  <c r="AE10" i="2037"/>
  <c r="AE12" i="2037"/>
  <c r="AE20" i="2037"/>
  <c r="AE26" i="2037"/>
  <c r="AE15" i="2037"/>
  <c r="AE21" i="2037"/>
  <c r="AE14" i="2037"/>
  <c r="AE17" i="2037"/>
  <c r="AE7" i="2037"/>
  <c r="K21" i="2035"/>
  <c r="K20" i="2035"/>
  <c r="K19" i="2035"/>
  <c r="K14" i="2035"/>
  <c r="K13" i="2035"/>
  <c r="K12" i="2035"/>
  <c r="K11" i="2035"/>
  <c r="K10" i="2035"/>
  <c r="K9" i="2035"/>
  <c r="K8" i="2035"/>
  <c r="K7" i="2035"/>
  <c r="A84" i="2035"/>
  <c r="A85" i="2035" s="1"/>
  <c r="A86" i="2035" s="1"/>
  <c r="A87" i="2035" s="1"/>
  <c r="A88" i="2035" s="1"/>
  <c r="A83" i="2035"/>
  <c r="AF67" i="2035"/>
  <c r="AF66" i="2035"/>
  <c r="AF69" i="2035" s="1"/>
  <c r="AA28" i="2035"/>
  <c r="Z28" i="2035"/>
  <c r="Y28" i="2035"/>
  <c r="X28" i="2035"/>
  <c r="W28" i="2035"/>
  <c r="V28" i="2035"/>
  <c r="U28" i="2035"/>
  <c r="T28" i="2035"/>
  <c r="S28" i="2035"/>
  <c r="R28" i="2035"/>
  <c r="N28" i="2035"/>
  <c r="J28" i="2035"/>
  <c r="AF27" i="2035"/>
  <c r="AB27" i="2035"/>
  <c r="Q27" i="2035"/>
  <c r="P27" i="2035" s="1"/>
  <c r="AC27" i="2035" s="1"/>
  <c r="AD27" i="2035" s="1"/>
  <c r="O27" i="2035"/>
  <c r="M27" i="2035"/>
  <c r="AF26" i="2035"/>
  <c r="AC26" i="2035"/>
  <c r="AD26" i="2035" s="1"/>
  <c r="AB26" i="2035"/>
  <c r="Q26" i="2035"/>
  <c r="P26" i="2035"/>
  <c r="O26" i="2035"/>
  <c r="M26" i="2035"/>
  <c r="K26" i="2035"/>
  <c r="AF25" i="2035"/>
  <c r="AC25" i="2035"/>
  <c r="AD25" i="2035" s="1"/>
  <c r="AB25" i="2035"/>
  <c r="Q25" i="2035"/>
  <c r="P25" i="2035"/>
  <c r="O25" i="2035"/>
  <c r="M25" i="2035"/>
  <c r="K25" i="2035"/>
  <c r="AF24" i="2035"/>
  <c r="AC24" i="2035"/>
  <c r="AD24" i="2035" s="1"/>
  <c r="AB24" i="2035"/>
  <c r="Q24" i="2035"/>
  <c r="P24" i="2035"/>
  <c r="O24" i="2035"/>
  <c r="M24" i="2035"/>
  <c r="K24" i="2035"/>
  <c r="AF23" i="2035"/>
  <c r="AC23" i="2035"/>
  <c r="AD23" i="2035" s="1"/>
  <c r="AB23" i="2035"/>
  <c r="Q23" i="2035"/>
  <c r="P23" i="2035"/>
  <c r="O23" i="2035"/>
  <c r="M23" i="2035"/>
  <c r="K23" i="2035"/>
  <c r="AF22" i="2035"/>
  <c r="AC22" i="2035"/>
  <c r="AD22" i="2035" s="1"/>
  <c r="AB22" i="2035"/>
  <c r="Q22" i="2035"/>
  <c r="P22" i="2035"/>
  <c r="O22" i="2035"/>
  <c r="M22" i="2035"/>
  <c r="K22" i="2035"/>
  <c r="AF21" i="2035"/>
  <c r="Q21" i="2035"/>
  <c r="P21" i="2035"/>
  <c r="AC21" i="2035" s="1"/>
  <c r="AF20" i="2035"/>
  <c r="Q20" i="2035"/>
  <c r="P20" i="2035" s="1"/>
  <c r="AC20" i="2035" s="1"/>
  <c r="O20" i="2035"/>
  <c r="AF19" i="2035"/>
  <c r="Q19" i="2035"/>
  <c r="P19" i="2035" s="1"/>
  <c r="AC19" i="2035" s="1"/>
  <c r="O19" i="2035"/>
  <c r="AB19" i="2035"/>
  <c r="AF18" i="2035"/>
  <c r="AB18" i="2035"/>
  <c r="Q18" i="2035"/>
  <c r="P18" i="2035"/>
  <c r="AC18" i="2035" s="1"/>
  <c r="O18" i="2035"/>
  <c r="M18" i="2035"/>
  <c r="AF17" i="2035"/>
  <c r="AB17" i="2035"/>
  <c r="Q17" i="2035"/>
  <c r="P17" i="2035"/>
  <c r="AC17" i="2035" s="1"/>
  <c r="O17" i="2035"/>
  <c r="M17" i="2035"/>
  <c r="K17" i="2035"/>
  <c r="AF16" i="2035"/>
  <c r="AB16" i="2035"/>
  <c r="Q16" i="2035"/>
  <c r="P16" i="2035" s="1"/>
  <c r="AC16" i="2035" s="1"/>
  <c r="O16" i="2035"/>
  <c r="M16" i="2035"/>
  <c r="AF15" i="2035"/>
  <c r="AB15" i="2035"/>
  <c r="Q15" i="2035"/>
  <c r="P15" i="2035"/>
  <c r="AC15" i="2035" s="1"/>
  <c r="AD15" i="2035" s="1"/>
  <c r="O15" i="2035"/>
  <c r="M15" i="2035"/>
  <c r="K15" i="2035"/>
  <c r="AF14" i="2035"/>
  <c r="AB14" i="2035"/>
  <c r="Q14" i="2035"/>
  <c r="P14" i="2035"/>
  <c r="AC14" i="2035" s="1"/>
  <c r="AD14" i="2035" s="1"/>
  <c r="O14" i="2035"/>
  <c r="M14" i="2035"/>
  <c r="AF13" i="2035"/>
  <c r="Q13" i="2035"/>
  <c r="P13" i="2035" s="1"/>
  <c r="AC13" i="2035" s="1"/>
  <c r="AF12" i="2035"/>
  <c r="Q12" i="2035"/>
  <c r="P12" i="2035" s="1"/>
  <c r="AC12" i="2035" s="1"/>
  <c r="O12" i="2035"/>
  <c r="AF11" i="2035"/>
  <c r="Q11" i="2035"/>
  <c r="P11" i="2035" s="1"/>
  <c r="AC11" i="2035" s="1"/>
  <c r="O11" i="2035"/>
  <c r="AB11" i="2035"/>
  <c r="I11" i="2035"/>
  <c r="I28" i="2035" s="1"/>
  <c r="AF10" i="2035"/>
  <c r="Q10" i="2035"/>
  <c r="P10" i="2035"/>
  <c r="AC10" i="2035" s="1"/>
  <c r="O10" i="2035"/>
  <c r="AB10" i="2035"/>
  <c r="AF9" i="2035"/>
  <c r="AC9" i="2035"/>
  <c r="AB9" i="2035"/>
  <c r="Q9" i="2035"/>
  <c r="P9" i="2035"/>
  <c r="O9" i="2035"/>
  <c r="M9" i="2035"/>
  <c r="AF8" i="2035"/>
  <c r="Q8" i="2035"/>
  <c r="P8" i="2035"/>
  <c r="AC8" i="2035" s="1"/>
  <c r="AF7" i="2035"/>
  <c r="Q7" i="2035"/>
  <c r="P7" i="2035"/>
  <c r="AC7" i="2035" s="1"/>
  <c r="O7" i="2035"/>
  <c r="AF6" i="2035"/>
  <c r="Q6" i="2035"/>
  <c r="P6" i="2035"/>
  <c r="AC6" i="2035" s="1"/>
  <c r="O6" i="2035"/>
  <c r="AB6" i="2035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1" i="2034"/>
  <c r="L20" i="2034"/>
  <c r="L19" i="2034"/>
  <c r="L14" i="2034"/>
  <c r="K14" i="2034"/>
  <c r="L13" i="2034"/>
  <c r="M13" i="2034" s="1"/>
  <c r="L12" i="2034"/>
  <c r="AB12" i="2034" s="1"/>
  <c r="L11" i="2034"/>
  <c r="O11" i="2034" s="1"/>
  <c r="K11" i="2034"/>
  <c r="I11" i="2034"/>
  <c r="I28" i="2034"/>
  <c r="L10" i="2034"/>
  <c r="M10" i="2034" s="1"/>
  <c r="L9" i="2034"/>
  <c r="AB9" i="2034" s="1"/>
  <c r="L8" i="2034"/>
  <c r="P8" i="2034" s="1"/>
  <c r="AC8" i="2034" s="1"/>
  <c r="L7" i="2034"/>
  <c r="L6" i="2034"/>
  <c r="O6" i="2034" s="1"/>
  <c r="K6" i="2034"/>
  <c r="K21" i="2034"/>
  <c r="K20" i="2034"/>
  <c r="K18" i="2034"/>
  <c r="K12" i="2034"/>
  <c r="K10" i="2034"/>
  <c r="K9" i="2034"/>
  <c r="K8" i="2034"/>
  <c r="A83" i="2034"/>
  <c r="A84" i="2034" s="1"/>
  <c r="A85" i="2034" s="1"/>
  <c r="A86" i="2034" s="1"/>
  <c r="A87" i="2034" s="1"/>
  <c r="A88" i="2034" s="1"/>
  <c r="AF67" i="2034"/>
  <c r="AF66" i="2034"/>
  <c r="AF69" i="2034" s="1"/>
  <c r="AA28" i="2034"/>
  <c r="Z28" i="2034"/>
  <c r="Y28" i="2034"/>
  <c r="X28" i="2034"/>
  <c r="W28" i="2034"/>
  <c r="V28" i="2034"/>
  <c r="U28" i="2034"/>
  <c r="T28" i="2034"/>
  <c r="S28" i="2034"/>
  <c r="R28" i="2034"/>
  <c r="N28" i="2034"/>
  <c r="J28" i="2034"/>
  <c r="AF27" i="2034"/>
  <c r="AB27" i="2034"/>
  <c r="Q27" i="2034"/>
  <c r="P27" i="2034"/>
  <c r="AC27" i="2034" s="1"/>
  <c r="AD27" i="2034" s="1"/>
  <c r="O27" i="2034"/>
  <c r="M27" i="2034"/>
  <c r="K27" i="2034"/>
  <c r="AF26" i="2034"/>
  <c r="AB26" i="2034"/>
  <c r="Q26" i="2034"/>
  <c r="P26" i="2034"/>
  <c r="AC26" i="2034" s="1"/>
  <c r="AD26" i="2034" s="1"/>
  <c r="O26" i="2034"/>
  <c r="M26" i="2034"/>
  <c r="K26" i="2034"/>
  <c r="AF25" i="2034"/>
  <c r="AB25" i="2034"/>
  <c r="Q25" i="2034"/>
  <c r="P25" i="2034"/>
  <c r="AC25" i="2034" s="1"/>
  <c r="AD25" i="2034" s="1"/>
  <c r="O25" i="2034"/>
  <c r="M25" i="2034"/>
  <c r="K25" i="2034"/>
  <c r="AF24" i="2034"/>
  <c r="AB24" i="2034"/>
  <c r="Q24" i="2034"/>
  <c r="P24" i="2034"/>
  <c r="AC24" i="2034" s="1"/>
  <c r="O24" i="2034"/>
  <c r="M24" i="2034"/>
  <c r="K24" i="2034"/>
  <c r="AF23" i="2034"/>
  <c r="AB23" i="2034"/>
  <c r="Q23" i="2034"/>
  <c r="P23" i="2034"/>
  <c r="AC23" i="2034" s="1"/>
  <c r="O23" i="2034"/>
  <c r="M23" i="2034"/>
  <c r="K23" i="2034"/>
  <c r="AF22" i="2034"/>
  <c r="AB22" i="2034"/>
  <c r="Q22" i="2034"/>
  <c r="P22" i="2034"/>
  <c r="AC22" i="2034" s="1"/>
  <c r="AD22" i="2034" s="1"/>
  <c r="O22" i="2034"/>
  <c r="M22" i="2034"/>
  <c r="K22" i="2034"/>
  <c r="AF21" i="2034"/>
  <c r="AB21" i="2034"/>
  <c r="Q21" i="2034"/>
  <c r="P21" i="2034"/>
  <c r="AC21" i="2034" s="1"/>
  <c r="O21" i="2034"/>
  <c r="M21" i="2034"/>
  <c r="AF20" i="2034"/>
  <c r="Q20" i="2034"/>
  <c r="P20" i="2034"/>
  <c r="AC20" i="2034" s="1"/>
  <c r="AF19" i="2034"/>
  <c r="AB19" i="2034"/>
  <c r="Q19" i="2034"/>
  <c r="O19" i="2034"/>
  <c r="M19" i="2034"/>
  <c r="K19" i="2034"/>
  <c r="AF18" i="2034"/>
  <c r="AB18" i="2034"/>
  <c r="Q18" i="2034"/>
  <c r="P18" i="2034"/>
  <c r="AC18" i="2034" s="1"/>
  <c r="AD18" i="2034" s="1"/>
  <c r="O18" i="2034"/>
  <c r="M18" i="2034"/>
  <c r="AF17" i="2034"/>
  <c r="AB17" i="2034"/>
  <c r="Q17" i="2034"/>
  <c r="P17" i="2034"/>
  <c r="AC17" i="2034" s="1"/>
  <c r="O17" i="2034"/>
  <c r="M17" i="2034"/>
  <c r="K17" i="2034"/>
  <c r="AF16" i="2034"/>
  <c r="AB16" i="2034"/>
  <c r="Q16" i="2034"/>
  <c r="P16" i="2034"/>
  <c r="AC16" i="2034" s="1"/>
  <c r="AD16" i="2034" s="1"/>
  <c r="O16" i="2034"/>
  <c r="M16" i="2034"/>
  <c r="K16" i="2034"/>
  <c r="AF15" i="2034"/>
  <c r="AB15" i="2034"/>
  <c r="Q15" i="2034"/>
  <c r="P15" i="2034"/>
  <c r="AC15" i="2034" s="1"/>
  <c r="AD15" i="2034" s="1"/>
  <c r="O15" i="2034"/>
  <c r="M15" i="2034"/>
  <c r="K15" i="2034"/>
  <c r="AF14" i="2034"/>
  <c r="AB14" i="2034"/>
  <c r="Q14" i="2034"/>
  <c r="P14" i="2034" s="1"/>
  <c r="AC14" i="2034" s="1"/>
  <c r="O14" i="2034"/>
  <c r="M14" i="2034"/>
  <c r="AF13" i="2034"/>
  <c r="AB13" i="2034"/>
  <c r="Q13" i="2034"/>
  <c r="P13" i="2034"/>
  <c r="AC13" i="2034" s="1"/>
  <c r="AD13" i="2034" s="1"/>
  <c r="O13" i="2034"/>
  <c r="AF12" i="2034"/>
  <c r="Q12" i="2034"/>
  <c r="O12" i="2034"/>
  <c r="AF11" i="2034"/>
  <c r="AB11" i="2034"/>
  <c r="Q11" i="2034"/>
  <c r="P11" i="2034"/>
  <c r="AC11" i="2034" s="1"/>
  <c r="M11" i="2034"/>
  <c r="AF10" i="2034"/>
  <c r="AB10" i="2034"/>
  <c r="Q10" i="2034"/>
  <c r="P10" i="2034"/>
  <c r="AC10" i="2034" s="1"/>
  <c r="O10" i="2034"/>
  <c r="AF9" i="2034"/>
  <c r="Q9" i="2034"/>
  <c r="O9" i="2034"/>
  <c r="AF8" i="2034"/>
  <c r="AB8" i="2034"/>
  <c r="Q8" i="2034"/>
  <c r="M8" i="2034"/>
  <c r="AF7" i="2034"/>
  <c r="Q7" i="2034"/>
  <c r="AF6" i="2034"/>
  <c r="AB6" i="2034"/>
  <c r="Q6" i="2034"/>
  <c r="M6" i="2034"/>
  <c r="Q28" i="2035" l="1"/>
  <c r="AD9" i="2035"/>
  <c r="AD18" i="2035"/>
  <c r="AC28" i="2035"/>
  <c r="AD16" i="2035"/>
  <c r="AD17" i="2035"/>
  <c r="P28" i="2035"/>
  <c r="AD10" i="2035"/>
  <c r="AD11" i="2035"/>
  <c r="K28" i="2035"/>
  <c r="AD19" i="2035"/>
  <c r="AD6" i="2035"/>
  <c r="AB8" i="2035"/>
  <c r="AB13" i="2035"/>
  <c r="AB21" i="2035"/>
  <c r="L28" i="2035"/>
  <c r="O28" i="2035" s="1"/>
  <c r="M7" i="2035"/>
  <c r="M12" i="2035"/>
  <c r="AB12" i="2035"/>
  <c r="AD12" i="2035" s="1"/>
  <c r="O13" i="2035"/>
  <c r="M20" i="2035"/>
  <c r="AB20" i="2035"/>
  <c r="AD20" i="2035" s="1"/>
  <c r="O21" i="2035"/>
  <c r="M8" i="2035"/>
  <c r="M13" i="2035"/>
  <c r="M21" i="2035"/>
  <c r="AB7" i="2035"/>
  <c r="O8" i="2035"/>
  <c r="M6" i="2035"/>
  <c r="M10" i="2035"/>
  <c r="M11" i="2035"/>
  <c r="M19" i="2035"/>
  <c r="AD21" i="2034"/>
  <c r="P19" i="2034"/>
  <c r="AC19" i="2034" s="1"/>
  <c r="AD19" i="2034" s="1"/>
  <c r="K13" i="2034"/>
  <c r="K28" i="2034" s="1"/>
  <c r="O8" i="2034"/>
  <c r="AD8" i="2034" s="1"/>
  <c r="Q28" i="2034"/>
  <c r="P7" i="2034"/>
  <c r="AC7" i="2034" s="1"/>
  <c r="K7" i="2034"/>
  <c r="P6" i="2034"/>
  <c r="AC6" i="2034" s="1"/>
  <c r="AD6" i="2034" s="1"/>
  <c r="AD11" i="2034"/>
  <c r="AD14" i="2034"/>
  <c r="AD24" i="2034"/>
  <c r="AD17" i="2034"/>
  <c r="AD23" i="2034"/>
  <c r="AD10" i="2034"/>
  <c r="M7" i="2034"/>
  <c r="AB7" i="2034"/>
  <c r="P9" i="2034"/>
  <c r="AC9" i="2034" s="1"/>
  <c r="AD9" i="2034" s="1"/>
  <c r="P12" i="2034"/>
  <c r="AC12" i="2034" s="1"/>
  <c r="AD12" i="2034" s="1"/>
  <c r="M20" i="2034"/>
  <c r="AB20" i="2034"/>
  <c r="O7" i="2034"/>
  <c r="O20" i="2034"/>
  <c r="L28" i="2034"/>
  <c r="O28" i="2034" s="1"/>
  <c r="M9" i="2034"/>
  <c r="M12" i="2034"/>
  <c r="AD13" i="2035" l="1"/>
  <c r="AD8" i="2035"/>
  <c r="AB28" i="2035"/>
  <c r="AD21" i="2035"/>
  <c r="AD28" i="2035" s="1"/>
  <c r="AD7" i="2035"/>
  <c r="M28" i="2035"/>
  <c r="AD7" i="2034"/>
  <c r="AD28" i="2034" s="1"/>
  <c r="M28" i="2034"/>
  <c r="P28" i="2034"/>
  <c r="AD20" i="2034"/>
  <c r="AC28" i="2034"/>
  <c r="AB28" i="2034"/>
  <c r="AE18" i="2035" l="1"/>
  <c r="AE16" i="2035"/>
  <c r="AE14" i="2035"/>
  <c r="AE9" i="2035"/>
  <c r="AE6" i="2035"/>
  <c r="AE15" i="2035"/>
  <c r="AE7" i="2035"/>
  <c r="AE27" i="2035"/>
  <c r="AE25" i="2035"/>
  <c r="AE21" i="2035"/>
  <c r="AE26" i="2035"/>
  <c r="AE24" i="2035"/>
  <c r="AE22" i="2035"/>
  <c r="AE19" i="2035"/>
  <c r="AE11" i="2035"/>
  <c r="AE10" i="2035"/>
  <c r="AE20" i="2035"/>
  <c r="AE17" i="2035"/>
  <c r="AE12" i="2035"/>
  <c r="AE23" i="2035"/>
  <c r="AE13" i="2035"/>
  <c r="AE8" i="2035"/>
  <c r="AE27" i="2034"/>
  <c r="AE25" i="2034"/>
  <c r="AE23" i="2034"/>
  <c r="AE21" i="2034"/>
  <c r="AE18" i="2034"/>
  <c r="AE16" i="2034"/>
  <c r="AE14" i="2034"/>
  <c r="AE11" i="2034"/>
  <c r="AE8" i="2034"/>
  <c r="AE12" i="2034"/>
  <c r="AE9" i="2034"/>
  <c r="AE20" i="2034"/>
  <c r="AE7" i="2034"/>
  <c r="AE26" i="2034"/>
  <c r="AE24" i="2034"/>
  <c r="AE22" i="2034"/>
  <c r="AE19" i="2034"/>
  <c r="AE17" i="2034"/>
  <c r="AE15" i="2034"/>
  <c r="AE13" i="2034"/>
  <c r="AE10" i="2034"/>
  <c r="AE6" i="2034"/>
  <c r="H25" i="16" l="1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21" i="2033"/>
  <c r="O21" i="2033" s="1"/>
  <c r="L20" i="2033"/>
  <c r="K18" i="2033"/>
  <c r="K14" i="2033"/>
  <c r="L13" i="2033"/>
  <c r="O13" i="2033" s="1"/>
  <c r="L12" i="2033"/>
  <c r="L10" i="2033"/>
  <c r="AB10" i="2033" s="1"/>
  <c r="L9" i="2033"/>
  <c r="K9" i="2033" s="1"/>
  <c r="L8" i="2033"/>
  <c r="L7" i="2033"/>
  <c r="AB7" i="2033" s="1"/>
  <c r="K20" i="2033"/>
  <c r="K13" i="2033"/>
  <c r="K12" i="2033"/>
  <c r="K11" i="2033"/>
  <c r="K10" i="2033"/>
  <c r="K8" i="2033"/>
  <c r="K7" i="2033"/>
  <c r="A83" i="2033"/>
  <c r="A84" i="2033" s="1"/>
  <c r="A85" i="2033" s="1"/>
  <c r="A86" i="2033" s="1"/>
  <c r="A87" i="2033" s="1"/>
  <c r="A88" i="2033" s="1"/>
  <c r="AF67" i="2033"/>
  <c r="AF66" i="2033"/>
  <c r="AF69" i="2033" s="1"/>
  <c r="AA28" i="2033"/>
  <c r="Z28" i="2033"/>
  <c r="Y28" i="2033"/>
  <c r="X28" i="2033"/>
  <c r="W28" i="2033"/>
  <c r="V28" i="2033"/>
  <c r="U28" i="2033"/>
  <c r="T28" i="2033"/>
  <c r="S28" i="2033"/>
  <c r="R28" i="2033"/>
  <c r="N28" i="2033"/>
  <c r="J28" i="2033"/>
  <c r="I28" i="2033"/>
  <c r="AF27" i="2033"/>
  <c r="AB27" i="2033"/>
  <c r="Q27" i="2033"/>
  <c r="P27" i="2033"/>
  <c r="AC27" i="2033" s="1"/>
  <c r="AD27" i="2033" s="1"/>
  <c r="O27" i="2033"/>
  <c r="M27" i="2033"/>
  <c r="K27" i="2033"/>
  <c r="AF26" i="2033"/>
  <c r="AB26" i="2033"/>
  <c r="Q26" i="2033"/>
  <c r="P26" i="2033"/>
  <c r="AC26" i="2033" s="1"/>
  <c r="AD26" i="2033" s="1"/>
  <c r="O26" i="2033"/>
  <c r="M26" i="2033"/>
  <c r="K26" i="2033"/>
  <c r="AF25" i="2033"/>
  <c r="AB25" i="2033"/>
  <c r="Q25" i="2033"/>
  <c r="P25" i="2033"/>
  <c r="AC25" i="2033" s="1"/>
  <c r="AD25" i="2033" s="1"/>
  <c r="O25" i="2033"/>
  <c r="M25" i="2033"/>
  <c r="K25" i="2033"/>
  <c r="AF24" i="2033"/>
  <c r="AB24" i="2033"/>
  <c r="Q24" i="2033"/>
  <c r="P24" i="2033"/>
  <c r="AC24" i="2033" s="1"/>
  <c r="AD24" i="2033" s="1"/>
  <c r="O24" i="2033"/>
  <c r="M24" i="2033"/>
  <c r="K24" i="2033"/>
  <c r="AF23" i="2033"/>
  <c r="AB23" i="2033"/>
  <c r="Q23" i="2033"/>
  <c r="P23" i="2033"/>
  <c r="AC23" i="2033" s="1"/>
  <c r="AD23" i="2033" s="1"/>
  <c r="O23" i="2033"/>
  <c r="M23" i="2033"/>
  <c r="K23" i="2033"/>
  <c r="AF22" i="2033"/>
  <c r="AB22" i="2033"/>
  <c r="Q22" i="2033"/>
  <c r="P22" i="2033"/>
  <c r="AC22" i="2033" s="1"/>
  <c r="AD22" i="2033" s="1"/>
  <c r="O22" i="2033"/>
  <c r="M22" i="2033"/>
  <c r="K22" i="2033"/>
  <c r="AF21" i="2033"/>
  <c r="AB21" i="2033"/>
  <c r="Q21" i="2033"/>
  <c r="P21" i="2033" s="1"/>
  <c r="AC21" i="2033" s="1"/>
  <c r="M21" i="2033"/>
  <c r="K21" i="2033"/>
  <c r="AF20" i="2033"/>
  <c r="AB20" i="2033"/>
  <c r="Q20" i="2033"/>
  <c r="P20" i="2033" s="1"/>
  <c r="AC20" i="2033" s="1"/>
  <c r="O20" i="2033"/>
  <c r="M20" i="2033"/>
  <c r="AF19" i="2033"/>
  <c r="AB19" i="2033"/>
  <c r="Q19" i="2033"/>
  <c r="P19" i="2033"/>
  <c r="AC19" i="2033" s="1"/>
  <c r="AD19" i="2033" s="1"/>
  <c r="O19" i="2033"/>
  <c r="M19" i="2033"/>
  <c r="K19" i="2033"/>
  <c r="AF18" i="2033"/>
  <c r="AB18" i="2033"/>
  <c r="Q18" i="2033"/>
  <c r="P18" i="2033" s="1"/>
  <c r="AC18" i="2033" s="1"/>
  <c r="O18" i="2033"/>
  <c r="M18" i="2033"/>
  <c r="AF17" i="2033"/>
  <c r="AB17" i="2033"/>
  <c r="Q17" i="2033"/>
  <c r="P17" i="2033"/>
  <c r="AC17" i="2033" s="1"/>
  <c r="AD17" i="2033" s="1"/>
  <c r="O17" i="2033"/>
  <c r="M17" i="2033"/>
  <c r="K17" i="2033"/>
  <c r="AF16" i="2033"/>
  <c r="AB16" i="2033"/>
  <c r="Q16" i="2033"/>
  <c r="P16" i="2033"/>
  <c r="AC16" i="2033" s="1"/>
  <c r="AD16" i="2033" s="1"/>
  <c r="O16" i="2033"/>
  <c r="M16" i="2033"/>
  <c r="K16" i="2033"/>
  <c r="AF15" i="2033"/>
  <c r="AB15" i="2033"/>
  <c r="Q15" i="2033"/>
  <c r="P15" i="2033"/>
  <c r="AC15" i="2033" s="1"/>
  <c r="AD15" i="2033" s="1"/>
  <c r="O15" i="2033"/>
  <c r="M15" i="2033"/>
  <c r="K15" i="2033"/>
  <c r="AF14" i="2033"/>
  <c r="AB14" i="2033"/>
  <c r="Q14" i="2033"/>
  <c r="P14" i="2033" s="1"/>
  <c r="AC14" i="2033" s="1"/>
  <c r="AD14" i="2033" s="1"/>
  <c r="O14" i="2033"/>
  <c r="M14" i="2033"/>
  <c r="AF13" i="2033"/>
  <c r="Q13" i="2033"/>
  <c r="AB13" i="2033"/>
  <c r="AF12" i="2033"/>
  <c r="AB12" i="2033"/>
  <c r="Q12" i="2033"/>
  <c r="O12" i="2033"/>
  <c r="M12" i="2033"/>
  <c r="AF11" i="2033"/>
  <c r="AB11" i="2033"/>
  <c r="Q11" i="2033"/>
  <c r="P11" i="2033"/>
  <c r="AC11" i="2033" s="1"/>
  <c r="O11" i="2033"/>
  <c r="M11" i="2033"/>
  <c r="AF10" i="2033"/>
  <c r="Q10" i="2033"/>
  <c r="O10" i="2033"/>
  <c r="AF9" i="2033"/>
  <c r="AB9" i="2033"/>
  <c r="Q9" i="2033"/>
  <c r="M9" i="2033"/>
  <c r="O9" i="2033"/>
  <c r="AF8" i="2033"/>
  <c r="Q8" i="2033"/>
  <c r="P8" i="2033" s="1"/>
  <c r="AC8" i="2033" s="1"/>
  <c r="AF7" i="2033"/>
  <c r="Q7" i="2033"/>
  <c r="P7" i="2033" s="1"/>
  <c r="AC7" i="2033" s="1"/>
  <c r="O7" i="2033"/>
  <c r="AF6" i="2033"/>
  <c r="AB6" i="2033"/>
  <c r="Q6" i="2033"/>
  <c r="P6" i="2033"/>
  <c r="AC6" i="2033" s="1"/>
  <c r="O6" i="2033"/>
  <c r="M6" i="2033"/>
  <c r="K6" i="2033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0" i="2032"/>
  <c r="K18" i="2032"/>
  <c r="L13" i="2032"/>
  <c r="K12" i="2032"/>
  <c r="L11" i="2032"/>
  <c r="L10" i="2032"/>
  <c r="AB10" i="2032" s="1"/>
  <c r="L9" i="2032"/>
  <c r="L8" i="2032"/>
  <c r="O8" i="2032" s="1"/>
  <c r="K20" i="2032"/>
  <c r="K19" i="2032"/>
  <c r="K14" i="2032"/>
  <c r="K13" i="2032"/>
  <c r="K11" i="2032"/>
  <c r="K10" i="2032"/>
  <c r="K9" i="2032"/>
  <c r="K8" i="2032"/>
  <c r="K7" i="2032"/>
  <c r="A83" i="2032"/>
  <c r="A84" i="2032" s="1"/>
  <c r="A85" i="2032" s="1"/>
  <c r="A86" i="2032" s="1"/>
  <c r="A87" i="2032" s="1"/>
  <c r="A88" i="2032" s="1"/>
  <c r="AF67" i="2032"/>
  <c r="AF66" i="2032"/>
  <c r="AF69" i="2032" s="1"/>
  <c r="AA28" i="2032"/>
  <c r="Z28" i="2032"/>
  <c r="Y28" i="2032"/>
  <c r="X28" i="2032"/>
  <c r="W28" i="2032"/>
  <c r="V28" i="2032"/>
  <c r="U28" i="2032"/>
  <c r="T28" i="2032"/>
  <c r="S28" i="2032"/>
  <c r="R28" i="2032"/>
  <c r="N28" i="2032"/>
  <c r="J28" i="2032"/>
  <c r="I28" i="2032"/>
  <c r="AF27" i="2032"/>
  <c r="AB27" i="2032"/>
  <c r="Q27" i="2032"/>
  <c r="P27" i="2032"/>
  <c r="AC27" i="2032" s="1"/>
  <c r="AD27" i="2032" s="1"/>
  <c r="O27" i="2032"/>
  <c r="M27" i="2032"/>
  <c r="K27" i="2032"/>
  <c r="AF26" i="2032"/>
  <c r="AB26" i="2032"/>
  <c r="Q26" i="2032"/>
  <c r="P26" i="2032"/>
  <c r="AC26" i="2032" s="1"/>
  <c r="AD26" i="2032" s="1"/>
  <c r="O26" i="2032"/>
  <c r="M26" i="2032"/>
  <c r="K26" i="2032"/>
  <c r="AF25" i="2032"/>
  <c r="AB25" i="2032"/>
  <c r="Q25" i="2032"/>
  <c r="P25" i="2032"/>
  <c r="AC25" i="2032" s="1"/>
  <c r="AD25" i="2032" s="1"/>
  <c r="O25" i="2032"/>
  <c r="M25" i="2032"/>
  <c r="K25" i="2032"/>
  <c r="AF24" i="2032"/>
  <c r="AC24" i="2032"/>
  <c r="AD24" i="2032" s="1"/>
  <c r="AB24" i="2032"/>
  <c r="Q24" i="2032"/>
  <c r="P24" i="2032"/>
  <c r="O24" i="2032"/>
  <c r="M24" i="2032"/>
  <c r="K24" i="2032"/>
  <c r="AF23" i="2032"/>
  <c r="AB23" i="2032"/>
  <c r="Q23" i="2032"/>
  <c r="P23" i="2032"/>
  <c r="AC23" i="2032" s="1"/>
  <c r="AD23" i="2032" s="1"/>
  <c r="O23" i="2032"/>
  <c r="M23" i="2032"/>
  <c r="K23" i="2032"/>
  <c r="AF22" i="2032"/>
  <c r="AC22" i="2032"/>
  <c r="AD22" i="2032" s="1"/>
  <c r="AB22" i="2032"/>
  <c r="Q22" i="2032"/>
  <c r="P22" i="2032"/>
  <c r="O22" i="2032"/>
  <c r="M22" i="2032"/>
  <c r="K22" i="2032"/>
  <c r="AF21" i="2032"/>
  <c r="AB21" i="2032"/>
  <c r="Q21" i="2032"/>
  <c r="P21" i="2032"/>
  <c r="AC21" i="2032" s="1"/>
  <c r="AD21" i="2032" s="1"/>
  <c r="O21" i="2032"/>
  <c r="M21" i="2032"/>
  <c r="K21" i="2032"/>
  <c r="AF20" i="2032"/>
  <c r="AB20" i="2032"/>
  <c r="Q20" i="2032"/>
  <c r="P20" i="2032" s="1"/>
  <c r="AC20" i="2032" s="1"/>
  <c r="O20" i="2032"/>
  <c r="M20" i="2032"/>
  <c r="AF19" i="2032"/>
  <c r="AB19" i="2032"/>
  <c r="Q19" i="2032"/>
  <c r="P19" i="2032" s="1"/>
  <c r="AC19" i="2032" s="1"/>
  <c r="O19" i="2032"/>
  <c r="M19" i="2032"/>
  <c r="AF18" i="2032"/>
  <c r="AB18" i="2032"/>
  <c r="Q18" i="2032"/>
  <c r="P18" i="2032" s="1"/>
  <c r="AC18" i="2032" s="1"/>
  <c r="AD18" i="2032" s="1"/>
  <c r="O18" i="2032"/>
  <c r="M18" i="2032"/>
  <c r="AF17" i="2032"/>
  <c r="AB17" i="2032"/>
  <c r="Q17" i="2032"/>
  <c r="P17" i="2032"/>
  <c r="AC17" i="2032" s="1"/>
  <c r="O17" i="2032"/>
  <c r="M17" i="2032"/>
  <c r="K17" i="2032"/>
  <c r="AF16" i="2032"/>
  <c r="AC16" i="2032"/>
  <c r="AD16" i="2032" s="1"/>
  <c r="AB16" i="2032"/>
  <c r="Q16" i="2032"/>
  <c r="P16" i="2032"/>
  <c r="O16" i="2032"/>
  <c r="M16" i="2032"/>
  <c r="K16" i="2032"/>
  <c r="AF15" i="2032"/>
  <c r="AB15" i="2032"/>
  <c r="Q15" i="2032"/>
  <c r="P15" i="2032"/>
  <c r="AC15" i="2032" s="1"/>
  <c r="O15" i="2032"/>
  <c r="M15" i="2032"/>
  <c r="K15" i="2032"/>
  <c r="AF14" i="2032"/>
  <c r="AB14" i="2032"/>
  <c r="Q14" i="2032"/>
  <c r="P14" i="2032"/>
  <c r="AC14" i="2032" s="1"/>
  <c r="AD14" i="2032" s="1"/>
  <c r="O14" i="2032"/>
  <c r="M14" i="2032"/>
  <c r="AF13" i="2032"/>
  <c r="Q13" i="2032"/>
  <c r="AB13" i="2032"/>
  <c r="AF12" i="2032"/>
  <c r="AB12" i="2032"/>
  <c r="Q12" i="2032"/>
  <c r="P12" i="2032"/>
  <c r="AC12" i="2032" s="1"/>
  <c r="O12" i="2032"/>
  <c r="M12" i="2032"/>
  <c r="AF11" i="2032"/>
  <c r="AB11" i="2032"/>
  <c r="Q11" i="2032"/>
  <c r="O11" i="2032"/>
  <c r="M11" i="2032"/>
  <c r="P11" i="2032"/>
  <c r="AC11" i="2032" s="1"/>
  <c r="AD11" i="2032" s="1"/>
  <c r="AF10" i="2032"/>
  <c r="Q10" i="2032"/>
  <c r="AF9" i="2032"/>
  <c r="Q9" i="2032"/>
  <c r="P9" i="2032"/>
  <c r="AC9" i="2032" s="1"/>
  <c r="O9" i="2032"/>
  <c r="AF8" i="2032"/>
  <c r="Q8" i="2032"/>
  <c r="P8" i="2032" s="1"/>
  <c r="AC8" i="2032" s="1"/>
  <c r="AF7" i="2032"/>
  <c r="AB7" i="2032"/>
  <c r="Q7" i="2032"/>
  <c r="O7" i="2032"/>
  <c r="M7" i="2032"/>
  <c r="AF6" i="2032"/>
  <c r="AB6" i="2032"/>
  <c r="Q6" i="2032"/>
  <c r="P6" i="2032"/>
  <c r="O6" i="2032"/>
  <c r="M6" i="2032"/>
  <c r="K6" i="2032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AG3" i="16" s="1"/>
  <c r="L20" i="2031"/>
  <c r="O20" i="2031" s="1"/>
  <c r="K14" i="2031"/>
  <c r="L13" i="2031"/>
  <c r="K13" i="2031" s="1"/>
  <c r="L11" i="2031"/>
  <c r="L10" i="2031"/>
  <c r="AB10" i="2031" s="1"/>
  <c r="L9" i="2031"/>
  <c r="L8" i="2031"/>
  <c r="L7" i="2031"/>
  <c r="P7" i="2031" s="1"/>
  <c r="AC7" i="2031" s="1"/>
  <c r="K21" i="2031"/>
  <c r="K20" i="2031"/>
  <c r="K19" i="2031"/>
  <c r="K18" i="2031"/>
  <c r="K12" i="2031"/>
  <c r="K11" i="2031"/>
  <c r="K10" i="2031"/>
  <c r="K9" i="2031"/>
  <c r="K8" i="2031"/>
  <c r="K7" i="2031"/>
  <c r="A83" i="2031"/>
  <c r="A84" i="2031" s="1"/>
  <c r="A85" i="2031" s="1"/>
  <c r="A86" i="2031" s="1"/>
  <c r="A87" i="2031" s="1"/>
  <c r="A88" i="2031" s="1"/>
  <c r="AF69" i="2031"/>
  <c r="AF67" i="2031"/>
  <c r="AF66" i="2031"/>
  <c r="AA28" i="2031"/>
  <c r="Z28" i="2031"/>
  <c r="Y28" i="2031"/>
  <c r="X28" i="2031"/>
  <c r="W28" i="2031"/>
  <c r="V28" i="2031"/>
  <c r="U28" i="2031"/>
  <c r="T28" i="2031"/>
  <c r="S28" i="2031"/>
  <c r="R28" i="2031"/>
  <c r="N28" i="2031"/>
  <c r="J28" i="2031"/>
  <c r="I28" i="2031"/>
  <c r="AF27" i="2031"/>
  <c r="AB27" i="2031"/>
  <c r="Q27" i="2031"/>
  <c r="P27" i="2031"/>
  <c r="AC27" i="2031" s="1"/>
  <c r="AD27" i="2031" s="1"/>
  <c r="O27" i="2031"/>
  <c r="M27" i="2031"/>
  <c r="K27" i="2031"/>
  <c r="AF26" i="2031"/>
  <c r="AB26" i="2031"/>
  <c r="Q26" i="2031"/>
  <c r="P26" i="2031"/>
  <c r="AC26" i="2031" s="1"/>
  <c r="AD26" i="2031" s="1"/>
  <c r="O26" i="2031"/>
  <c r="M26" i="2031"/>
  <c r="K26" i="2031"/>
  <c r="AF25" i="2031"/>
  <c r="AC25" i="2031"/>
  <c r="AD25" i="2031" s="1"/>
  <c r="AB25" i="2031"/>
  <c r="Q25" i="2031"/>
  <c r="P25" i="2031"/>
  <c r="O25" i="2031"/>
  <c r="M25" i="2031"/>
  <c r="K25" i="2031"/>
  <c r="AF24" i="2031"/>
  <c r="AC24" i="2031"/>
  <c r="AD24" i="2031" s="1"/>
  <c r="AB24" i="2031"/>
  <c r="Q24" i="2031"/>
  <c r="P24" i="2031"/>
  <c r="O24" i="2031"/>
  <c r="M24" i="2031"/>
  <c r="K24" i="2031"/>
  <c r="AF23" i="2031"/>
  <c r="AC23" i="2031"/>
  <c r="AD23" i="2031" s="1"/>
  <c r="AB23" i="2031"/>
  <c r="Q23" i="2031"/>
  <c r="P23" i="2031"/>
  <c r="O23" i="2031"/>
  <c r="M23" i="2031"/>
  <c r="K23" i="2031"/>
  <c r="AF22" i="2031"/>
  <c r="AC22" i="2031"/>
  <c r="AD22" i="2031" s="1"/>
  <c r="AB22" i="2031"/>
  <c r="Q22" i="2031"/>
  <c r="P22" i="2031"/>
  <c r="O22" i="2031"/>
  <c r="M22" i="2031"/>
  <c r="K22" i="2031"/>
  <c r="AF21" i="2031"/>
  <c r="Q21" i="2031"/>
  <c r="P21" i="2031"/>
  <c r="AC21" i="2031" s="1"/>
  <c r="O21" i="2031"/>
  <c r="AB21" i="2031"/>
  <c r="AF20" i="2031"/>
  <c r="Q20" i="2031"/>
  <c r="P20" i="2031" s="1"/>
  <c r="AC20" i="2031" s="1"/>
  <c r="AF19" i="2031"/>
  <c r="Q19" i="2031"/>
  <c r="AB19" i="2031"/>
  <c r="AF18" i="2031"/>
  <c r="AB18" i="2031"/>
  <c r="Q18" i="2031"/>
  <c r="P18" i="2031"/>
  <c r="AC18" i="2031" s="1"/>
  <c r="O18" i="2031"/>
  <c r="M18" i="2031"/>
  <c r="AF17" i="2031"/>
  <c r="AC17" i="2031"/>
  <c r="AB17" i="2031"/>
  <c r="Q17" i="2031"/>
  <c r="P17" i="2031"/>
  <c r="O17" i="2031"/>
  <c r="M17" i="2031"/>
  <c r="K17" i="2031"/>
  <c r="AF16" i="2031"/>
  <c r="AB16" i="2031"/>
  <c r="Q16" i="2031"/>
  <c r="P16" i="2031"/>
  <c r="AC16" i="2031" s="1"/>
  <c r="O16" i="2031"/>
  <c r="M16" i="2031"/>
  <c r="K16" i="2031"/>
  <c r="AF15" i="2031"/>
  <c r="AB15" i="2031"/>
  <c r="Q15" i="2031"/>
  <c r="P15" i="2031"/>
  <c r="AC15" i="2031" s="1"/>
  <c r="AD15" i="2031" s="1"/>
  <c r="O15" i="2031"/>
  <c r="M15" i="2031"/>
  <c r="K15" i="2031"/>
  <c r="AF14" i="2031"/>
  <c r="AB14" i="2031"/>
  <c r="Q14" i="2031"/>
  <c r="P14" i="2031"/>
  <c r="AC14" i="2031" s="1"/>
  <c r="AD14" i="2031" s="1"/>
  <c r="O14" i="2031"/>
  <c r="M14" i="2031"/>
  <c r="AF13" i="2031"/>
  <c r="AB13" i="2031"/>
  <c r="Q13" i="2031"/>
  <c r="P13" i="2031"/>
  <c r="AC13" i="2031" s="1"/>
  <c r="O13" i="2031"/>
  <c r="M13" i="2031"/>
  <c r="AF12" i="2031"/>
  <c r="Q12" i="2031"/>
  <c r="O12" i="2031"/>
  <c r="AF11" i="2031"/>
  <c r="Q11" i="2031"/>
  <c r="P11" i="2031"/>
  <c r="AC11" i="2031" s="1"/>
  <c r="M11" i="2031"/>
  <c r="AF10" i="2031"/>
  <c r="Q10" i="2031"/>
  <c r="O10" i="2031"/>
  <c r="AF9" i="2031"/>
  <c r="AC9" i="2031"/>
  <c r="AD9" i="2031" s="1"/>
  <c r="AB9" i="2031"/>
  <c r="Q9" i="2031"/>
  <c r="P9" i="2031"/>
  <c r="O9" i="2031"/>
  <c r="M9" i="2031"/>
  <c r="AF8" i="2031"/>
  <c r="Q8" i="2031"/>
  <c r="AB8" i="2031"/>
  <c r="AF7" i="2031"/>
  <c r="Q7" i="2031"/>
  <c r="M7" i="2031"/>
  <c r="AF6" i="2031"/>
  <c r="AC6" i="2031"/>
  <c r="AD6" i="2031" s="1"/>
  <c r="AB6" i="2031"/>
  <c r="Q6" i="2031"/>
  <c r="P6" i="2031"/>
  <c r="O6" i="2031"/>
  <c r="M6" i="2031"/>
  <c r="K6" i="2031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AG12" i="16" s="1"/>
  <c r="E11" i="16"/>
  <c r="E10" i="16"/>
  <c r="E9" i="16"/>
  <c r="E8" i="16"/>
  <c r="E7" i="16"/>
  <c r="E6" i="16"/>
  <c r="E5" i="16"/>
  <c r="E4" i="16"/>
  <c r="AG4" i="16" s="1"/>
  <c r="E3" i="16"/>
  <c r="L21" i="2030"/>
  <c r="L20" i="2030"/>
  <c r="L19" i="2030"/>
  <c r="K19" i="2030" s="1"/>
  <c r="K18" i="2030"/>
  <c r="L13" i="2030"/>
  <c r="L12" i="2030"/>
  <c r="L11" i="2030"/>
  <c r="K11" i="2030" s="1"/>
  <c r="L10" i="2030"/>
  <c r="O10" i="2030" s="1"/>
  <c r="L9" i="2030"/>
  <c r="L8" i="2030"/>
  <c r="K8" i="2030" s="1"/>
  <c r="L7" i="2030"/>
  <c r="K17" i="2030"/>
  <c r="K13" i="2030"/>
  <c r="K12" i="2030"/>
  <c r="K9" i="2030"/>
  <c r="K7" i="2030"/>
  <c r="K6" i="2030"/>
  <c r="A83" i="2030"/>
  <c r="A84" i="2030" s="1"/>
  <c r="A85" i="2030" s="1"/>
  <c r="A86" i="2030" s="1"/>
  <c r="A87" i="2030" s="1"/>
  <c r="A88" i="2030" s="1"/>
  <c r="AF67" i="2030"/>
  <c r="AF69" i="2030" s="1"/>
  <c r="AF66" i="2030"/>
  <c r="AA28" i="2030"/>
  <c r="Z28" i="2030"/>
  <c r="Y28" i="2030"/>
  <c r="X28" i="2030"/>
  <c r="W28" i="2030"/>
  <c r="V28" i="2030"/>
  <c r="U28" i="2030"/>
  <c r="T28" i="2030"/>
  <c r="S28" i="2030"/>
  <c r="R28" i="2030"/>
  <c r="N28" i="2030"/>
  <c r="J28" i="2030"/>
  <c r="I28" i="2030"/>
  <c r="AF27" i="2030"/>
  <c r="AC27" i="2030"/>
  <c r="AD27" i="2030" s="1"/>
  <c r="AB27" i="2030"/>
  <c r="Q27" i="2030"/>
  <c r="P27" i="2030"/>
  <c r="O27" i="2030"/>
  <c r="M27" i="2030"/>
  <c r="K27" i="2030"/>
  <c r="AF26" i="2030"/>
  <c r="AB26" i="2030"/>
  <c r="Q26" i="2030"/>
  <c r="P26" i="2030"/>
  <c r="AC26" i="2030" s="1"/>
  <c r="AD26" i="2030" s="1"/>
  <c r="O26" i="2030"/>
  <c r="M26" i="2030"/>
  <c r="K26" i="2030"/>
  <c r="AF25" i="2030"/>
  <c r="AC25" i="2030"/>
  <c r="AD25" i="2030" s="1"/>
  <c r="AB25" i="2030"/>
  <c r="Q25" i="2030"/>
  <c r="P25" i="2030"/>
  <c r="O25" i="2030"/>
  <c r="M25" i="2030"/>
  <c r="K25" i="2030"/>
  <c r="AF24" i="2030"/>
  <c r="AB24" i="2030"/>
  <c r="Q24" i="2030"/>
  <c r="P24" i="2030"/>
  <c r="AC24" i="2030" s="1"/>
  <c r="AD24" i="2030" s="1"/>
  <c r="O24" i="2030"/>
  <c r="M24" i="2030"/>
  <c r="K24" i="2030"/>
  <c r="AF23" i="2030"/>
  <c r="AC23" i="2030"/>
  <c r="AD23" i="2030" s="1"/>
  <c r="AB23" i="2030"/>
  <c r="Q23" i="2030"/>
  <c r="P23" i="2030"/>
  <c r="O23" i="2030"/>
  <c r="M23" i="2030"/>
  <c r="K23" i="2030"/>
  <c r="AF22" i="2030"/>
  <c r="AB22" i="2030"/>
  <c r="Q22" i="2030"/>
  <c r="P22" i="2030"/>
  <c r="AC22" i="2030" s="1"/>
  <c r="AD22" i="2030" s="1"/>
  <c r="O22" i="2030"/>
  <c r="M22" i="2030"/>
  <c r="K22" i="2030"/>
  <c r="AF21" i="2030"/>
  <c r="AB21" i="2030"/>
  <c r="Q21" i="2030"/>
  <c r="M21" i="2030"/>
  <c r="AF20" i="2030"/>
  <c r="AB20" i="2030"/>
  <c r="Q20" i="2030"/>
  <c r="M20" i="2030"/>
  <c r="AF19" i="2030"/>
  <c r="Q19" i="2030"/>
  <c r="O19" i="2030"/>
  <c r="AF18" i="2030"/>
  <c r="AB18" i="2030"/>
  <c r="Q18" i="2030"/>
  <c r="P18" i="2030" s="1"/>
  <c r="AC18" i="2030" s="1"/>
  <c r="O18" i="2030"/>
  <c r="M18" i="2030"/>
  <c r="AF17" i="2030"/>
  <c r="AB17" i="2030"/>
  <c r="Q17" i="2030"/>
  <c r="M17" i="2030"/>
  <c r="P17" i="2030"/>
  <c r="AC17" i="2030" s="1"/>
  <c r="AF16" i="2030"/>
  <c r="AB16" i="2030"/>
  <c r="Q16" i="2030"/>
  <c r="P16" i="2030"/>
  <c r="AC16" i="2030" s="1"/>
  <c r="AD16" i="2030" s="1"/>
  <c r="O16" i="2030"/>
  <c r="M16" i="2030"/>
  <c r="K16" i="2030"/>
  <c r="AF15" i="2030"/>
  <c r="AB15" i="2030"/>
  <c r="Q15" i="2030"/>
  <c r="P15" i="2030"/>
  <c r="AC15" i="2030" s="1"/>
  <c r="AD15" i="2030" s="1"/>
  <c r="O15" i="2030"/>
  <c r="M15" i="2030"/>
  <c r="K15" i="2030"/>
  <c r="AF14" i="2030"/>
  <c r="AB14" i="2030"/>
  <c r="Q14" i="2030"/>
  <c r="P14" i="2030" s="1"/>
  <c r="AC14" i="2030" s="1"/>
  <c r="O14" i="2030"/>
  <c r="M14" i="2030"/>
  <c r="K14" i="2030"/>
  <c r="AF13" i="2030"/>
  <c r="AB13" i="2030"/>
  <c r="Q13" i="2030"/>
  <c r="P13" i="2030" s="1"/>
  <c r="AC13" i="2030" s="1"/>
  <c r="O13" i="2030"/>
  <c r="M13" i="2030"/>
  <c r="AF12" i="2030"/>
  <c r="AB12" i="2030"/>
  <c r="Q12" i="2030"/>
  <c r="M12" i="2030"/>
  <c r="P12" i="2030"/>
  <c r="AC12" i="2030" s="1"/>
  <c r="AF11" i="2030"/>
  <c r="Q11" i="2030"/>
  <c r="O11" i="2030"/>
  <c r="AF10" i="2030"/>
  <c r="Q10" i="2030"/>
  <c r="P10" i="2030"/>
  <c r="AC10" i="2030" s="1"/>
  <c r="AF9" i="2030"/>
  <c r="AB9" i="2030"/>
  <c r="Q9" i="2030"/>
  <c r="P9" i="2030"/>
  <c r="AC9" i="2030" s="1"/>
  <c r="O9" i="2030"/>
  <c r="M9" i="2030"/>
  <c r="AF8" i="2030"/>
  <c r="AB8" i="2030"/>
  <c r="Q8" i="2030"/>
  <c r="M8" i="2030"/>
  <c r="P8" i="2030"/>
  <c r="AC8" i="2030" s="1"/>
  <c r="AF7" i="2030"/>
  <c r="Q7" i="2030"/>
  <c r="O7" i="2030"/>
  <c r="AF6" i="2030"/>
  <c r="Q6" i="2030"/>
  <c r="P6" i="2030"/>
  <c r="O6" i="2030"/>
  <c r="AB6" i="2030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1" i="2029"/>
  <c r="K21" i="2029" s="1"/>
  <c r="L20" i="2029"/>
  <c r="K20" i="2029"/>
  <c r="L19" i="2029"/>
  <c r="L17" i="2029"/>
  <c r="K14" i="2029"/>
  <c r="L13" i="2029"/>
  <c r="K13" i="2029" s="1"/>
  <c r="L12" i="2029"/>
  <c r="K12" i="2029" s="1"/>
  <c r="L11" i="2029"/>
  <c r="K11" i="2029" s="1"/>
  <c r="L10" i="2029"/>
  <c r="K10" i="2029" s="1"/>
  <c r="L9" i="2029"/>
  <c r="K9" i="2029" s="1"/>
  <c r="L8" i="2029"/>
  <c r="K8" i="2029" s="1"/>
  <c r="L7" i="2029"/>
  <c r="K7" i="2029" s="1"/>
  <c r="L6" i="2029"/>
  <c r="K6" i="2029" s="1"/>
  <c r="K19" i="2029"/>
  <c r="K17" i="2029"/>
  <c r="A83" i="2029"/>
  <c r="A84" i="2029" s="1"/>
  <c r="A85" i="2029" s="1"/>
  <c r="A86" i="2029" s="1"/>
  <c r="A87" i="2029" s="1"/>
  <c r="A88" i="2029" s="1"/>
  <c r="AF69" i="2029"/>
  <c r="AF67" i="2029"/>
  <c r="AF66" i="2029"/>
  <c r="AA28" i="2029"/>
  <c r="Z28" i="2029"/>
  <c r="Y28" i="2029"/>
  <c r="X28" i="2029"/>
  <c r="W28" i="2029"/>
  <c r="V28" i="2029"/>
  <c r="U28" i="2029"/>
  <c r="T28" i="2029"/>
  <c r="S28" i="2029"/>
  <c r="R28" i="2029"/>
  <c r="N28" i="2029"/>
  <c r="J28" i="2029"/>
  <c r="I28" i="2029"/>
  <c r="AF27" i="2029"/>
  <c r="AC27" i="2029"/>
  <c r="AD27" i="2029" s="1"/>
  <c r="AB27" i="2029"/>
  <c r="Q27" i="2029"/>
  <c r="P27" i="2029"/>
  <c r="O27" i="2029"/>
  <c r="M27" i="2029"/>
  <c r="K27" i="2029"/>
  <c r="AF26" i="2029"/>
  <c r="AB26" i="2029"/>
  <c r="Q26" i="2029"/>
  <c r="P26" i="2029"/>
  <c r="AC26" i="2029" s="1"/>
  <c r="AD26" i="2029" s="1"/>
  <c r="O26" i="2029"/>
  <c r="M26" i="2029"/>
  <c r="K26" i="2029"/>
  <c r="AF25" i="2029"/>
  <c r="AC25" i="2029"/>
  <c r="AD25" i="2029" s="1"/>
  <c r="AB25" i="2029"/>
  <c r="Q25" i="2029"/>
  <c r="P25" i="2029"/>
  <c r="O25" i="2029"/>
  <c r="M25" i="2029"/>
  <c r="K25" i="2029"/>
  <c r="AF24" i="2029"/>
  <c r="AB24" i="2029"/>
  <c r="Q24" i="2029"/>
  <c r="P24" i="2029"/>
  <c r="AC24" i="2029" s="1"/>
  <c r="AD24" i="2029" s="1"/>
  <c r="O24" i="2029"/>
  <c r="M24" i="2029"/>
  <c r="K24" i="2029"/>
  <c r="AF23" i="2029"/>
  <c r="AC23" i="2029"/>
  <c r="AD23" i="2029" s="1"/>
  <c r="AB23" i="2029"/>
  <c r="Q23" i="2029"/>
  <c r="P23" i="2029"/>
  <c r="O23" i="2029"/>
  <c r="M23" i="2029"/>
  <c r="K23" i="2029"/>
  <c r="AF22" i="2029"/>
  <c r="AB22" i="2029"/>
  <c r="Q22" i="2029"/>
  <c r="P22" i="2029"/>
  <c r="AC22" i="2029" s="1"/>
  <c r="AD22" i="2029" s="1"/>
  <c r="O22" i="2029"/>
  <c r="M22" i="2029"/>
  <c r="K22" i="2029"/>
  <c r="AF21" i="2029"/>
  <c r="Q21" i="2029"/>
  <c r="P21" i="2029"/>
  <c r="AC21" i="2029" s="1"/>
  <c r="O21" i="2029"/>
  <c r="AB21" i="2029"/>
  <c r="AF20" i="2029"/>
  <c r="AB20" i="2029"/>
  <c r="Q20" i="2029"/>
  <c r="P20" i="2029" s="1"/>
  <c r="AC20" i="2029" s="1"/>
  <c r="O20" i="2029"/>
  <c r="M20" i="2029"/>
  <c r="AF19" i="2029"/>
  <c r="Q19" i="2029"/>
  <c r="AB19" i="2029"/>
  <c r="AF18" i="2029"/>
  <c r="AC18" i="2029"/>
  <c r="AD18" i="2029" s="1"/>
  <c r="AB18" i="2029"/>
  <c r="Q18" i="2029"/>
  <c r="P18" i="2029"/>
  <c r="O18" i="2029"/>
  <c r="M18" i="2029"/>
  <c r="K18" i="2029"/>
  <c r="AF17" i="2029"/>
  <c r="Q17" i="2029"/>
  <c r="O17" i="2029"/>
  <c r="AF16" i="2029"/>
  <c r="AB16" i="2029"/>
  <c r="Q16" i="2029"/>
  <c r="P16" i="2029"/>
  <c r="AC16" i="2029" s="1"/>
  <c r="AD16" i="2029" s="1"/>
  <c r="O16" i="2029"/>
  <c r="M16" i="2029"/>
  <c r="K16" i="2029"/>
  <c r="AF15" i="2029"/>
  <c r="AB15" i="2029"/>
  <c r="Q15" i="2029"/>
  <c r="P15" i="2029"/>
  <c r="AC15" i="2029" s="1"/>
  <c r="AD15" i="2029" s="1"/>
  <c r="O15" i="2029"/>
  <c r="M15" i="2029"/>
  <c r="K15" i="2029"/>
  <c r="AF14" i="2029"/>
  <c r="AB14" i="2029"/>
  <c r="Q14" i="2029"/>
  <c r="P14" i="2029"/>
  <c r="AC14" i="2029" s="1"/>
  <c r="AD14" i="2029" s="1"/>
  <c r="O14" i="2029"/>
  <c r="M14" i="2029"/>
  <c r="AF13" i="2029"/>
  <c r="AB13" i="2029"/>
  <c r="Q13" i="2029"/>
  <c r="M13" i="2029"/>
  <c r="AF12" i="2029"/>
  <c r="AB12" i="2029"/>
  <c r="Q12" i="2029"/>
  <c r="P12" i="2029"/>
  <c r="AC12" i="2029" s="1"/>
  <c r="O12" i="2029"/>
  <c r="M12" i="2029"/>
  <c r="AF11" i="2029"/>
  <c r="Q11" i="2029"/>
  <c r="P11" i="2029"/>
  <c r="AC11" i="2029" s="1"/>
  <c r="O11" i="2029"/>
  <c r="AB11" i="2029"/>
  <c r="AF10" i="2029"/>
  <c r="AB10" i="2029"/>
  <c r="Q10" i="2029"/>
  <c r="P10" i="2029" s="1"/>
  <c r="AC10" i="2029" s="1"/>
  <c r="O10" i="2029"/>
  <c r="M10" i="2029"/>
  <c r="AF9" i="2029"/>
  <c r="Q9" i="2029"/>
  <c r="O9" i="2029"/>
  <c r="AF8" i="2029"/>
  <c r="Q8" i="2029"/>
  <c r="P8" i="2029"/>
  <c r="AC8" i="2029" s="1"/>
  <c r="AB8" i="2029"/>
  <c r="AF7" i="2029"/>
  <c r="Q7" i="2029"/>
  <c r="P7" i="2029" s="1"/>
  <c r="AC7" i="2029" s="1"/>
  <c r="O7" i="2029"/>
  <c r="AB7" i="2029"/>
  <c r="AF6" i="2029"/>
  <c r="AB6" i="2029"/>
  <c r="Q6" i="2029"/>
  <c r="O6" i="2029"/>
  <c r="M6" i="2029"/>
  <c r="L28" i="2029"/>
  <c r="O28" i="2029" s="1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1" i="2028"/>
  <c r="K21" i="2028" s="1"/>
  <c r="L19" i="2028"/>
  <c r="K19" i="2028"/>
  <c r="L17" i="2028"/>
  <c r="L13" i="2028"/>
  <c r="AB13" i="2028" s="1"/>
  <c r="L11" i="2028"/>
  <c r="K11" i="2028" s="1"/>
  <c r="L10" i="2028"/>
  <c r="K10" i="2028" s="1"/>
  <c r="L9" i="2028"/>
  <c r="K9" i="2028" s="1"/>
  <c r="L8" i="2028"/>
  <c r="K8" i="2028" s="1"/>
  <c r="L7" i="2028"/>
  <c r="K7" i="2028" s="1"/>
  <c r="L6" i="2028"/>
  <c r="K6" i="2028" s="1"/>
  <c r="K17" i="2028"/>
  <c r="A83" i="2028"/>
  <c r="A84" i="2028" s="1"/>
  <c r="A85" i="2028" s="1"/>
  <c r="A86" i="2028" s="1"/>
  <c r="A87" i="2028" s="1"/>
  <c r="A88" i="2028" s="1"/>
  <c r="AF67" i="2028"/>
  <c r="AF66" i="2028"/>
  <c r="AF69" i="2028" s="1"/>
  <c r="AA28" i="2028"/>
  <c r="Z28" i="2028"/>
  <c r="Y28" i="2028"/>
  <c r="X28" i="2028"/>
  <c r="W28" i="2028"/>
  <c r="V28" i="2028"/>
  <c r="U28" i="2028"/>
  <c r="T28" i="2028"/>
  <c r="S28" i="2028"/>
  <c r="R28" i="2028"/>
  <c r="N28" i="2028"/>
  <c r="J28" i="2028"/>
  <c r="I28" i="2028"/>
  <c r="AF27" i="2028"/>
  <c r="AB27" i="2028"/>
  <c r="Q27" i="2028"/>
  <c r="P27" i="2028"/>
  <c r="AC27" i="2028" s="1"/>
  <c r="AD27" i="2028" s="1"/>
  <c r="O27" i="2028"/>
  <c r="M27" i="2028"/>
  <c r="K27" i="2028"/>
  <c r="AF26" i="2028"/>
  <c r="AC26" i="2028"/>
  <c r="AD26" i="2028" s="1"/>
  <c r="AB26" i="2028"/>
  <c r="Q26" i="2028"/>
  <c r="P26" i="2028"/>
  <c r="O26" i="2028"/>
  <c r="M26" i="2028"/>
  <c r="K26" i="2028"/>
  <c r="AF25" i="2028"/>
  <c r="AB25" i="2028"/>
  <c r="Q25" i="2028"/>
  <c r="P25" i="2028"/>
  <c r="AC25" i="2028" s="1"/>
  <c r="AD25" i="2028" s="1"/>
  <c r="O25" i="2028"/>
  <c r="M25" i="2028"/>
  <c r="K25" i="2028"/>
  <c r="AF24" i="2028"/>
  <c r="AC24" i="2028"/>
  <c r="AD24" i="2028" s="1"/>
  <c r="AB24" i="2028"/>
  <c r="Q24" i="2028"/>
  <c r="P24" i="2028"/>
  <c r="O24" i="2028"/>
  <c r="M24" i="2028"/>
  <c r="K24" i="2028"/>
  <c r="AF23" i="2028"/>
  <c r="AB23" i="2028"/>
  <c r="Q23" i="2028"/>
  <c r="P23" i="2028"/>
  <c r="AC23" i="2028" s="1"/>
  <c r="AD23" i="2028" s="1"/>
  <c r="O23" i="2028"/>
  <c r="M23" i="2028"/>
  <c r="K23" i="2028"/>
  <c r="AF22" i="2028"/>
  <c r="AC22" i="2028"/>
  <c r="AD22" i="2028" s="1"/>
  <c r="AB22" i="2028"/>
  <c r="Q22" i="2028"/>
  <c r="P22" i="2028"/>
  <c r="O22" i="2028"/>
  <c r="M22" i="2028"/>
  <c r="K22" i="2028"/>
  <c r="AF21" i="2028"/>
  <c r="Q21" i="2028"/>
  <c r="P21" i="2028"/>
  <c r="AC21" i="2028" s="1"/>
  <c r="AF20" i="2028"/>
  <c r="AB20" i="2028"/>
  <c r="Q20" i="2028"/>
  <c r="P20" i="2028"/>
  <c r="AC20" i="2028" s="1"/>
  <c r="AD20" i="2028" s="1"/>
  <c r="O20" i="2028"/>
  <c r="M20" i="2028"/>
  <c r="K20" i="2028"/>
  <c r="AF19" i="2028"/>
  <c r="AB19" i="2028"/>
  <c r="Q19" i="2028"/>
  <c r="M19" i="2028"/>
  <c r="P19" i="2028"/>
  <c r="AC19" i="2028" s="1"/>
  <c r="AF18" i="2028"/>
  <c r="AB18" i="2028"/>
  <c r="Q18" i="2028"/>
  <c r="P18" i="2028"/>
  <c r="AC18" i="2028" s="1"/>
  <c r="AD18" i="2028" s="1"/>
  <c r="O18" i="2028"/>
  <c r="M18" i="2028"/>
  <c r="K18" i="2028"/>
  <c r="AF17" i="2028"/>
  <c r="AB17" i="2028"/>
  <c r="Q17" i="2028"/>
  <c r="O17" i="2028"/>
  <c r="M17" i="2028"/>
  <c r="P17" i="2028"/>
  <c r="AC17" i="2028" s="1"/>
  <c r="AF16" i="2028"/>
  <c r="AB16" i="2028"/>
  <c r="Q16" i="2028"/>
  <c r="P16" i="2028"/>
  <c r="AC16" i="2028" s="1"/>
  <c r="O16" i="2028"/>
  <c r="M16" i="2028"/>
  <c r="K16" i="2028"/>
  <c r="AF15" i="2028"/>
  <c r="AB15" i="2028"/>
  <c r="Q15" i="2028"/>
  <c r="P15" i="2028"/>
  <c r="AC15" i="2028" s="1"/>
  <c r="AD15" i="2028" s="1"/>
  <c r="O15" i="2028"/>
  <c r="M15" i="2028"/>
  <c r="K15" i="2028"/>
  <c r="AF14" i="2028"/>
  <c r="AB14" i="2028"/>
  <c r="Q14" i="2028"/>
  <c r="P14" i="2028"/>
  <c r="AC14" i="2028" s="1"/>
  <c r="AD14" i="2028" s="1"/>
  <c r="O14" i="2028"/>
  <c r="M14" i="2028"/>
  <c r="K14" i="2028"/>
  <c r="AF13" i="2028"/>
  <c r="Q13" i="2028"/>
  <c r="AF12" i="2028"/>
  <c r="AB12" i="2028"/>
  <c r="Q12" i="2028"/>
  <c r="P12" i="2028"/>
  <c r="AC12" i="2028" s="1"/>
  <c r="AD12" i="2028" s="1"/>
  <c r="O12" i="2028"/>
  <c r="M12" i="2028"/>
  <c r="K12" i="2028"/>
  <c r="AF11" i="2028"/>
  <c r="Q11" i="2028"/>
  <c r="P11" i="2028" s="1"/>
  <c r="AC11" i="2028" s="1"/>
  <c r="O11" i="2028"/>
  <c r="M11" i="2028"/>
  <c r="AF10" i="2028"/>
  <c r="AB10" i="2028"/>
  <c r="Q10" i="2028"/>
  <c r="O10" i="2028"/>
  <c r="M10" i="2028"/>
  <c r="P10" i="2028"/>
  <c r="AC10" i="2028" s="1"/>
  <c r="AD10" i="2028" s="1"/>
  <c r="AF9" i="2028"/>
  <c r="AB9" i="2028"/>
  <c r="Q9" i="2028"/>
  <c r="P9" i="2028" s="1"/>
  <c r="AC9" i="2028" s="1"/>
  <c r="M9" i="2028"/>
  <c r="AF8" i="2028"/>
  <c r="Q8" i="2028"/>
  <c r="P8" i="2028" s="1"/>
  <c r="AC8" i="2028" s="1"/>
  <c r="AF7" i="2028"/>
  <c r="Q7" i="2028"/>
  <c r="P7" i="2028"/>
  <c r="AC7" i="2028" s="1"/>
  <c r="M7" i="2028"/>
  <c r="AF6" i="2028"/>
  <c r="AB6" i="2028"/>
  <c r="Q6" i="2028"/>
  <c r="L28" i="2028"/>
  <c r="O28" i="2028" s="1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L21" i="2027"/>
  <c r="L19" i="2027"/>
  <c r="K19" i="2027" s="1"/>
  <c r="L17" i="2027"/>
  <c r="L13" i="2027"/>
  <c r="O13" i="2027" s="1"/>
  <c r="L10" i="2027"/>
  <c r="K10" i="2027" s="1"/>
  <c r="L9" i="2027"/>
  <c r="K9" i="2027" s="1"/>
  <c r="L8" i="2027"/>
  <c r="P8" i="2027" s="1"/>
  <c r="AC8" i="2027" s="1"/>
  <c r="L7" i="2027"/>
  <c r="K7" i="2027" s="1"/>
  <c r="L6" i="2027"/>
  <c r="AB6" i="2027" s="1"/>
  <c r="K6" i="2027"/>
  <c r="AG24" i="16"/>
  <c r="AG23" i="16"/>
  <c r="AG21" i="16"/>
  <c r="AG20" i="16"/>
  <c r="AG19" i="16"/>
  <c r="AG17" i="16"/>
  <c r="AG16" i="16"/>
  <c r="AG15" i="16"/>
  <c r="AG13" i="16"/>
  <c r="AG11" i="16"/>
  <c r="AG9" i="16"/>
  <c r="AG8" i="16"/>
  <c r="AG7" i="16"/>
  <c r="AG5" i="16"/>
  <c r="K21" i="2027"/>
  <c r="K20" i="2027"/>
  <c r="K18" i="2027"/>
  <c r="K17" i="2027"/>
  <c r="K16" i="2027"/>
  <c r="K12" i="2027"/>
  <c r="AB12" i="2027"/>
  <c r="AB9" i="2027"/>
  <c r="A83" i="2027"/>
  <c r="A84" i="2027" s="1"/>
  <c r="A85" i="2027" s="1"/>
  <c r="A86" i="2027" s="1"/>
  <c r="A87" i="2027" s="1"/>
  <c r="A88" i="2027" s="1"/>
  <c r="AF69" i="2027"/>
  <c r="AF67" i="2027"/>
  <c r="AF66" i="2027"/>
  <c r="AA28" i="2027"/>
  <c r="Z28" i="2027"/>
  <c r="Y28" i="2027"/>
  <c r="X28" i="2027"/>
  <c r="W28" i="2027"/>
  <c r="V28" i="2027"/>
  <c r="U28" i="2027"/>
  <c r="T28" i="2027"/>
  <c r="S28" i="2027"/>
  <c r="R28" i="2027"/>
  <c r="N28" i="2027"/>
  <c r="J28" i="2027"/>
  <c r="I28" i="2027"/>
  <c r="AF27" i="2027"/>
  <c r="AC27" i="2027"/>
  <c r="AD27" i="2027" s="1"/>
  <c r="AB27" i="2027"/>
  <c r="Q27" i="2027"/>
  <c r="P27" i="2027"/>
  <c r="O27" i="2027"/>
  <c r="M27" i="2027"/>
  <c r="K27" i="2027"/>
  <c r="AF26" i="2027"/>
  <c r="AB26" i="2027"/>
  <c r="Q26" i="2027"/>
  <c r="P26" i="2027"/>
  <c r="AC26" i="2027" s="1"/>
  <c r="AD26" i="2027" s="1"/>
  <c r="O26" i="2027"/>
  <c r="M26" i="2027"/>
  <c r="K26" i="2027"/>
  <c r="AF25" i="2027"/>
  <c r="AC25" i="2027"/>
  <c r="AD25" i="2027" s="1"/>
  <c r="AB25" i="2027"/>
  <c r="Q25" i="2027"/>
  <c r="P25" i="2027"/>
  <c r="O25" i="2027"/>
  <c r="M25" i="2027"/>
  <c r="K25" i="2027"/>
  <c r="AF24" i="2027"/>
  <c r="AB24" i="2027"/>
  <c r="Q24" i="2027"/>
  <c r="P24" i="2027"/>
  <c r="AC24" i="2027" s="1"/>
  <c r="AD24" i="2027" s="1"/>
  <c r="O24" i="2027"/>
  <c r="M24" i="2027"/>
  <c r="K24" i="2027"/>
  <c r="AF23" i="2027"/>
  <c r="AC23" i="2027"/>
  <c r="AD23" i="2027" s="1"/>
  <c r="AB23" i="2027"/>
  <c r="Q23" i="2027"/>
  <c r="P23" i="2027"/>
  <c r="O23" i="2027"/>
  <c r="M23" i="2027"/>
  <c r="K23" i="2027"/>
  <c r="AF22" i="2027"/>
  <c r="AB22" i="2027"/>
  <c r="Q22" i="2027"/>
  <c r="P22" i="2027"/>
  <c r="AC22" i="2027" s="1"/>
  <c r="AD22" i="2027" s="1"/>
  <c r="O22" i="2027"/>
  <c r="M22" i="2027"/>
  <c r="K22" i="2027"/>
  <c r="AF21" i="2027"/>
  <c r="AB21" i="2027"/>
  <c r="Q21" i="2027"/>
  <c r="P21" i="2027"/>
  <c r="AC21" i="2027" s="1"/>
  <c r="O21" i="2027"/>
  <c r="M21" i="2027"/>
  <c r="AF20" i="2027"/>
  <c r="Q20" i="2027"/>
  <c r="O20" i="2027"/>
  <c r="AF19" i="2027"/>
  <c r="AB19" i="2027"/>
  <c r="Q19" i="2027"/>
  <c r="AF18" i="2027"/>
  <c r="AB18" i="2027"/>
  <c r="Q18" i="2027"/>
  <c r="P18" i="2027"/>
  <c r="AC18" i="2027" s="1"/>
  <c r="O18" i="2027"/>
  <c r="M18" i="2027"/>
  <c r="AF17" i="2027"/>
  <c r="Q17" i="2027"/>
  <c r="AF16" i="2027"/>
  <c r="Q16" i="2027"/>
  <c r="O16" i="2027"/>
  <c r="P16" i="2027"/>
  <c r="AC16" i="2027" s="1"/>
  <c r="AF15" i="2027"/>
  <c r="AB15" i="2027"/>
  <c r="Q15" i="2027"/>
  <c r="P15" i="2027"/>
  <c r="AC15" i="2027" s="1"/>
  <c r="O15" i="2027"/>
  <c r="M15" i="2027"/>
  <c r="K15" i="2027"/>
  <c r="AF14" i="2027"/>
  <c r="AB14" i="2027"/>
  <c r="Q14" i="2027"/>
  <c r="P14" i="2027"/>
  <c r="AC14" i="2027" s="1"/>
  <c r="O14" i="2027"/>
  <c r="M14" i="2027"/>
  <c r="K14" i="2027"/>
  <c r="AF13" i="2027"/>
  <c r="Q13" i="2027"/>
  <c r="AF12" i="2027"/>
  <c r="Q12" i="2027"/>
  <c r="P12" i="2027" s="1"/>
  <c r="AC12" i="2027" s="1"/>
  <c r="O12" i="2027"/>
  <c r="AF11" i="2027"/>
  <c r="AB11" i="2027"/>
  <c r="Q11" i="2027"/>
  <c r="P11" i="2027"/>
  <c r="AC11" i="2027" s="1"/>
  <c r="O11" i="2027"/>
  <c r="M11" i="2027"/>
  <c r="K11" i="2027"/>
  <c r="AF10" i="2027"/>
  <c r="AB10" i="2027"/>
  <c r="Q10" i="2027"/>
  <c r="P10" i="2027" s="1"/>
  <c r="AC10" i="2027" s="1"/>
  <c r="O10" i="2027"/>
  <c r="M10" i="2027"/>
  <c r="AF9" i="2027"/>
  <c r="Q9" i="2027"/>
  <c r="O9" i="2027"/>
  <c r="AF8" i="2027"/>
  <c r="Q8" i="2027"/>
  <c r="O8" i="2027"/>
  <c r="M8" i="2027"/>
  <c r="AF7" i="2027"/>
  <c r="Q7" i="2027"/>
  <c r="P7" i="2027" s="1"/>
  <c r="AC7" i="2027" s="1"/>
  <c r="AF6" i="2027"/>
  <c r="Q6" i="2027"/>
  <c r="P6" i="2027" s="1"/>
  <c r="AC6" i="2027" s="1"/>
  <c r="O6" i="2027"/>
  <c r="M6" i="2027"/>
  <c r="AD21" i="2033" l="1"/>
  <c r="P12" i="2033"/>
  <c r="AC12" i="2033" s="1"/>
  <c r="AD12" i="2033"/>
  <c r="P9" i="2033"/>
  <c r="AC9" i="2033" s="1"/>
  <c r="AD9" i="2033" s="1"/>
  <c r="Q28" i="2033"/>
  <c r="M7" i="2033"/>
  <c r="AD11" i="2033"/>
  <c r="AD18" i="2033"/>
  <c r="AD7" i="2033"/>
  <c r="AD20" i="2033"/>
  <c r="AD6" i="2033"/>
  <c r="L28" i="2033"/>
  <c r="O28" i="2033" s="1"/>
  <c r="M8" i="2033"/>
  <c r="M28" i="2033" s="1"/>
  <c r="AB8" i="2033"/>
  <c r="K28" i="2033"/>
  <c r="P10" i="2033"/>
  <c r="AC10" i="2033" s="1"/>
  <c r="AD10" i="2033" s="1"/>
  <c r="P13" i="2033"/>
  <c r="AC13" i="2033" s="1"/>
  <c r="AD13" i="2033" s="1"/>
  <c r="O8" i="2033"/>
  <c r="M10" i="2033"/>
  <c r="M13" i="2033"/>
  <c r="L28" i="2032"/>
  <c r="O28" i="2032" s="1"/>
  <c r="M8" i="2032"/>
  <c r="AB8" i="2032"/>
  <c r="AD8" i="2032" s="1"/>
  <c r="Q28" i="2032"/>
  <c r="AD12" i="2032"/>
  <c r="AD17" i="2032"/>
  <c r="AD15" i="2032"/>
  <c r="AD20" i="2032"/>
  <c r="AD19" i="2032"/>
  <c r="AB28" i="2032"/>
  <c r="AC6" i="2032"/>
  <c r="K28" i="2032"/>
  <c r="P7" i="2032"/>
  <c r="AC7" i="2032" s="1"/>
  <c r="AD7" i="2032" s="1"/>
  <c r="M9" i="2032"/>
  <c r="M28" i="2032" s="1"/>
  <c r="AB9" i="2032"/>
  <c r="AD9" i="2032" s="1"/>
  <c r="O10" i="2032"/>
  <c r="O13" i="2032"/>
  <c r="P10" i="2032"/>
  <c r="AC10" i="2032" s="1"/>
  <c r="AD10" i="2032" s="1"/>
  <c r="P13" i="2032"/>
  <c r="AC13" i="2032" s="1"/>
  <c r="M10" i="2032"/>
  <c r="M13" i="2032"/>
  <c r="AG22" i="16"/>
  <c r="Q28" i="2031"/>
  <c r="M20" i="2031"/>
  <c r="AB20" i="2031"/>
  <c r="AD20" i="2031" s="1"/>
  <c r="AD13" i="2031"/>
  <c r="P10" i="2031"/>
  <c r="AC10" i="2031" s="1"/>
  <c r="AD17" i="2031"/>
  <c r="AD18" i="2031"/>
  <c r="AD16" i="2031"/>
  <c r="AD10" i="2031"/>
  <c r="AD21" i="2031"/>
  <c r="M8" i="2031"/>
  <c r="AB12" i="2031"/>
  <c r="AB7" i="2031"/>
  <c r="O8" i="2031"/>
  <c r="AB11" i="2031"/>
  <c r="O19" i="2031"/>
  <c r="O7" i="2031"/>
  <c r="K28" i="2031"/>
  <c r="P8" i="2031"/>
  <c r="AC8" i="2031" s="1"/>
  <c r="M10" i="2031"/>
  <c r="O11" i="2031"/>
  <c r="P12" i="2031"/>
  <c r="AC12" i="2031" s="1"/>
  <c r="P19" i="2031"/>
  <c r="AC19" i="2031" s="1"/>
  <c r="AD19" i="2031" s="1"/>
  <c r="M21" i="2031"/>
  <c r="L28" i="2031"/>
  <c r="O28" i="2031" s="1"/>
  <c r="M12" i="2031"/>
  <c r="M19" i="2031"/>
  <c r="P21" i="2030"/>
  <c r="AC21" i="2030" s="1"/>
  <c r="O21" i="2030"/>
  <c r="K21" i="2030"/>
  <c r="P20" i="2030"/>
  <c r="AC20" i="2030" s="1"/>
  <c r="K20" i="2030"/>
  <c r="K28" i="2030" s="1"/>
  <c r="AD18" i="2030"/>
  <c r="AD13" i="2030"/>
  <c r="K10" i="2030"/>
  <c r="AB10" i="2030"/>
  <c r="AD10" i="2030" s="1"/>
  <c r="Q28" i="2030"/>
  <c r="AD14" i="2030"/>
  <c r="AD9" i="2030"/>
  <c r="AD12" i="2030"/>
  <c r="AC6" i="2030"/>
  <c r="P7" i="2030"/>
  <c r="AC7" i="2030" s="1"/>
  <c r="AD7" i="2030" s="1"/>
  <c r="P11" i="2030"/>
  <c r="AC11" i="2030" s="1"/>
  <c r="P19" i="2030"/>
  <c r="AC19" i="2030" s="1"/>
  <c r="L28" i="2030"/>
  <c r="O28" i="2030" s="1"/>
  <c r="M7" i="2030"/>
  <c r="AB7" i="2030"/>
  <c r="O8" i="2030"/>
  <c r="AD8" i="2030" s="1"/>
  <c r="M11" i="2030"/>
  <c r="AB11" i="2030"/>
  <c r="O12" i="2030"/>
  <c r="O17" i="2030"/>
  <c r="AD17" i="2030" s="1"/>
  <c r="M19" i="2030"/>
  <c r="AB19" i="2030"/>
  <c r="O20" i="2030"/>
  <c r="AD20" i="2030" s="1"/>
  <c r="M6" i="2030"/>
  <c r="M10" i="2030"/>
  <c r="AG6" i="16"/>
  <c r="AG18" i="16"/>
  <c r="AG14" i="16"/>
  <c r="AD20" i="2029"/>
  <c r="P19" i="2029"/>
  <c r="AC19" i="2029" s="1"/>
  <c r="O13" i="2029"/>
  <c r="P13" i="2029"/>
  <c r="AC13" i="2029" s="1"/>
  <c r="Q28" i="2029"/>
  <c r="AD10" i="2029"/>
  <c r="P6" i="2029"/>
  <c r="AC6" i="2029" s="1"/>
  <c r="AD6" i="2029" s="1"/>
  <c r="AD12" i="2029"/>
  <c r="AD21" i="2029"/>
  <c r="AD7" i="2029"/>
  <c r="AD11" i="2029"/>
  <c r="M7" i="2029"/>
  <c r="O8" i="2029"/>
  <c r="AD8" i="2029" s="1"/>
  <c r="K28" i="2029"/>
  <c r="P9" i="2029"/>
  <c r="AC9" i="2029" s="1"/>
  <c r="M11" i="2029"/>
  <c r="P17" i="2029"/>
  <c r="AC17" i="2029" s="1"/>
  <c r="O19" i="2029"/>
  <c r="AD19" i="2029" s="1"/>
  <c r="M21" i="2029"/>
  <c r="M9" i="2029"/>
  <c r="AB9" i="2029"/>
  <c r="M17" i="2029"/>
  <c r="AB17" i="2029"/>
  <c r="M8" i="2029"/>
  <c r="M19" i="2029"/>
  <c r="AG10" i="16"/>
  <c r="P13" i="2028"/>
  <c r="AC13" i="2028" s="1"/>
  <c r="O13" i="2028"/>
  <c r="K13" i="2028"/>
  <c r="AB11" i="2028"/>
  <c r="AD11" i="2028" s="1"/>
  <c r="Q28" i="2028"/>
  <c r="AB7" i="2028"/>
  <c r="O7" i="2028"/>
  <c r="M6" i="2028"/>
  <c r="O6" i="2028"/>
  <c r="AD16" i="2028"/>
  <c r="AD17" i="2028"/>
  <c r="AD19" i="2028"/>
  <c r="AD13" i="2028"/>
  <c r="P6" i="2028"/>
  <c r="M8" i="2028"/>
  <c r="AB8" i="2028"/>
  <c r="O9" i="2028"/>
  <c r="AD9" i="2028" s="1"/>
  <c r="O19" i="2028"/>
  <c r="M21" i="2028"/>
  <c r="AB21" i="2028"/>
  <c r="AD21" i="2028" s="1"/>
  <c r="O8" i="2028"/>
  <c r="M13" i="2028"/>
  <c r="O21" i="2028"/>
  <c r="M19" i="2027"/>
  <c r="O19" i="2027"/>
  <c r="K13" i="2027"/>
  <c r="K8" i="2027"/>
  <c r="AD21" i="2027"/>
  <c r="P19" i="2027"/>
  <c r="AC19" i="2027" s="1"/>
  <c r="AD19" i="2027" s="1"/>
  <c r="AD18" i="2027"/>
  <c r="P17" i="2027"/>
  <c r="AC17" i="2027" s="1"/>
  <c r="AB17" i="2027"/>
  <c r="P13" i="2027"/>
  <c r="AC13" i="2027" s="1"/>
  <c r="M13" i="2027"/>
  <c r="AB13" i="2027"/>
  <c r="Q28" i="2027"/>
  <c r="M12" i="2027"/>
  <c r="AD12" i="2027"/>
  <c r="P9" i="2027"/>
  <c r="AC9" i="2027" s="1"/>
  <c r="AD9" i="2027" s="1"/>
  <c r="M9" i="2027"/>
  <c r="AB8" i="2027"/>
  <c r="AD8" i="2027" s="1"/>
  <c r="O7" i="2027"/>
  <c r="AD11" i="2027"/>
  <c r="AD14" i="2027"/>
  <c r="AD10" i="2027"/>
  <c r="AD15" i="2027"/>
  <c r="AD6" i="2027"/>
  <c r="M7" i="2027"/>
  <c r="AB7" i="2027"/>
  <c r="M16" i="2027"/>
  <c r="AB16" i="2027"/>
  <c r="AD16" i="2027" s="1"/>
  <c r="O17" i="2027"/>
  <c r="P20" i="2027"/>
  <c r="AC20" i="2027" s="1"/>
  <c r="L28" i="2027"/>
  <c r="O28" i="2027" s="1"/>
  <c r="K28" i="2027"/>
  <c r="M20" i="2027"/>
  <c r="AB20" i="2027"/>
  <c r="M17" i="2027"/>
  <c r="AD8" i="2033" l="1"/>
  <c r="AD28" i="2033" s="1"/>
  <c r="AB28" i="2033"/>
  <c r="AC28" i="2033"/>
  <c r="P28" i="2033"/>
  <c r="P28" i="2032"/>
  <c r="AD13" i="2032"/>
  <c r="AC28" i="2032"/>
  <c r="AD6" i="2032"/>
  <c r="AD28" i="2032" s="1"/>
  <c r="M28" i="2031"/>
  <c r="AD7" i="2031"/>
  <c r="AD11" i="2031"/>
  <c r="AC28" i="2031"/>
  <c r="AD12" i="2031"/>
  <c r="AD8" i="2031"/>
  <c r="P28" i="2031"/>
  <c r="AB28" i="2031"/>
  <c r="AD21" i="2030"/>
  <c r="AB28" i="2030"/>
  <c r="AD11" i="2030"/>
  <c r="AC28" i="2030"/>
  <c r="AD6" i="2030"/>
  <c r="M28" i="2030"/>
  <c r="AD19" i="2030"/>
  <c r="P28" i="2030"/>
  <c r="AC28" i="2029"/>
  <c r="AD13" i="2029"/>
  <c r="AB28" i="2029"/>
  <c r="AD17" i="2029"/>
  <c r="AD28" i="2029" s="1"/>
  <c r="M28" i="2029"/>
  <c r="P28" i="2029"/>
  <c r="AD9" i="2029"/>
  <c r="AD7" i="2028"/>
  <c r="AD8" i="2028"/>
  <c r="M28" i="2028"/>
  <c r="P28" i="2028"/>
  <c r="AC6" i="2028"/>
  <c r="AB28" i="2028"/>
  <c r="K28" i="2028"/>
  <c r="AD17" i="2027"/>
  <c r="AC28" i="2027"/>
  <c r="M28" i="2027"/>
  <c r="P28" i="2027"/>
  <c r="AD13" i="2027"/>
  <c r="AB28" i="2027"/>
  <c r="AD20" i="2027"/>
  <c r="AD7" i="2027"/>
  <c r="AE27" i="2033" l="1"/>
  <c r="AE25" i="2033"/>
  <c r="AE23" i="2033"/>
  <c r="AE21" i="2033"/>
  <c r="AE12" i="2033"/>
  <c r="AE9" i="2033"/>
  <c r="AE6" i="2033"/>
  <c r="AE19" i="2033"/>
  <c r="AE17" i="2033"/>
  <c r="AE15" i="2033"/>
  <c r="AE13" i="2033"/>
  <c r="AE10" i="2033"/>
  <c r="AE26" i="2033"/>
  <c r="AE24" i="2033"/>
  <c r="AE22" i="2033"/>
  <c r="AE20" i="2033"/>
  <c r="AE11" i="2033"/>
  <c r="AE7" i="2033"/>
  <c r="AE18" i="2033"/>
  <c r="AE16" i="2033"/>
  <c r="AE14" i="2033"/>
  <c r="AE8" i="2033"/>
  <c r="AE27" i="2032"/>
  <c r="AE21" i="2032"/>
  <c r="AE12" i="2032"/>
  <c r="AE9" i="2032"/>
  <c r="AE17" i="2032"/>
  <c r="AE19" i="2032"/>
  <c r="AE26" i="2032"/>
  <c r="AE24" i="2032"/>
  <c r="AE22" i="2032"/>
  <c r="AE20" i="2032"/>
  <c r="AE11" i="2032"/>
  <c r="AE7" i="2032"/>
  <c r="AE18" i="2032"/>
  <c r="AE16" i="2032"/>
  <c r="AE14" i="2032"/>
  <c r="AE8" i="2032"/>
  <c r="AE25" i="2032"/>
  <c r="AE23" i="2032"/>
  <c r="AE15" i="2032"/>
  <c r="AE13" i="2032"/>
  <c r="AE10" i="2032"/>
  <c r="AE6" i="2032"/>
  <c r="AD28" i="2031"/>
  <c r="AE10" i="2031" s="1"/>
  <c r="AD28" i="2030"/>
  <c r="AE25" i="2030" s="1"/>
  <c r="AE27" i="2029"/>
  <c r="AE25" i="2029"/>
  <c r="AE23" i="2029"/>
  <c r="AE21" i="2029"/>
  <c r="AE18" i="2029"/>
  <c r="AE11" i="2029"/>
  <c r="AE7" i="2029"/>
  <c r="AE19" i="2029"/>
  <c r="AE16" i="2029"/>
  <c r="AE14" i="2029"/>
  <c r="AE8" i="2029"/>
  <c r="AE26" i="2029"/>
  <c r="AE24" i="2029"/>
  <c r="AE22" i="2029"/>
  <c r="AE17" i="2029"/>
  <c r="AE12" i="2029"/>
  <c r="AE9" i="2029"/>
  <c r="AE20" i="2029"/>
  <c r="AE15" i="2029"/>
  <c r="AE13" i="2029"/>
  <c r="AE10" i="2029"/>
  <c r="AE6" i="2029"/>
  <c r="AC28" i="2028"/>
  <c r="AD6" i="2028"/>
  <c r="AD28" i="2028" s="1"/>
  <c r="AD28" i="2027"/>
  <c r="AE25" i="2031" l="1"/>
  <c r="AE20" i="2031"/>
  <c r="AE26" i="2031"/>
  <c r="AE16" i="2031"/>
  <c r="AE7" i="2031"/>
  <c r="AE6" i="2031"/>
  <c r="AE13" i="2031"/>
  <c r="AE22" i="2031"/>
  <c r="AE11" i="2031"/>
  <c r="AE9" i="2031"/>
  <c r="AE12" i="2031"/>
  <c r="AE21" i="2031"/>
  <c r="AE17" i="2031"/>
  <c r="AE24" i="2031"/>
  <c r="AE27" i="2031"/>
  <c r="AE18" i="2031"/>
  <c r="AE23" i="2031"/>
  <c r="AE15" i="2031"/>
  <c r="AE19" i="2031"/>
  <c r="AE8" i="2031"/>
  <c r="AE14" i="2031"/>
  <c r="AE10" i="2030"/>
  <c r="AE22" i="2030"/>
  <c r="AE27" i="2030"/>
  <c r="AE17" i="2030"/>
  <c r="AE24" i="2030"/>
  <c r="AE20" i="2030"/>
  <c r="AE18" i="2030"/>
  <c r="AE19" i="2030"/>
  <c r="AE14" i="2030"/>
  <c r="AE15" i="2030"/>
  <c r="AE21" i="2030"/>
  <c r="AE8" i="2030"/>
  <c r="AE7" i="2030"/>
  <c r="AE26" i="2030"/>
  <c r="AE9" i="2030"/>
  <c r="AE23" i="2030"/>
  <c r="AE16" i="2030"/>
  <c r="AE12" i="2030"/>
  <c r="AE11" i="2030"/>
  <c r="AE6" i="2030"/>
  <c r="AE13" i="2030"/>
  <c r="AE27" i="2028"/>
  <c r="AE19" i="2028"/>
  <c r="AE16" i="2028"/>
  <c r="AE14" i="2028"/>
  <c r="AE9" i="2028"/>
  <c r="AE21" i="2028"/>
  <c r="AE18" i="2028"/>
  <c r="AE26" i="2028"/>
  <c r="AE24" i="2028"/>
  <c r="AE22" i="2028"/>
  <c r="AE17" i="2028"/>
  <c r="AE12" i="2028"/>
  <c r="AE10" i="2028"/>
  <c r="AE6" i="2028"/>
  <c r="AE20" i="2028"/>
  <c r="AE15" i="2028"/>
  <c r="AE13" i="2028"/>
  <c r="AE7" i="2028"/>
  <c r="AE25" i="2028"/>
  <c r="AE23" i="2028"/>
  <c r="AE11" i="2028"/>
  <c r="AE8" i="2028"/>
  <c r="AE27" i="2027"/>
  <c r="AE11" i="2027"/>
  <c r="AE8" i="2027"/>
  <c r="AE26" i="2027"/>
  <c r="AE17" i="2027"/>
  <c r="AE21" i="2027"/>
  <c r="AE20" i="2027"/>
  <c r="AE10" i="2027"/>
  <c r="AE19" i="2027"/>
  <c r="AE6" i="2027"/>
  <c r="AE15" i="2027"/>
  <c r="AE22" i="2027"/>
  <c r="AE12" i="2027"/>
  <c r="AE7" i="2027"/>
  <c r="AE25" i="2027"/>
  <c r="AE13" i="2027"/>
  <c r="AE23" i="2027"/>
  <c r="AE9" i="2027"/>
  <c r="AE18" i="2027"/>
  <c r="AE24" i="2027"/>
  <c r="AE14" i="2027"/>
  <c r="AE16" i="2027"/>
  <c r="AG25" i="16" l="1"/>
</calcChain>
</file>

<file path=xl/sharedStrings.xml><?xml version="1.0" encoding="utf-8"?>
<sst xmlns="http://schemas.openxmlformats.org/spreadsheetml/2006/main" count="6191" uniqueCount="719">
  <si>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</si>
  <si>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</si>
  <si>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</si>
  <si>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</si>
  <si>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</si>
  <si>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</si>
  <si>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</si>
  <si>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</si>
  <si>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</si>
  <si>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</si>
  <si>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</si>
  <si>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</si>
  <si>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</si>
  <si>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</si>
  <si>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</si>
  <si>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</si>
  <si>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</si>
  <si>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</si>
  <si>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</si>
  <si>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</si>
  <si>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</si>
  <si>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</si>
  <si>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</si>
  <si>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</si>
  <si>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</si>
  <si>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</si>
  <si>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</si>
  <si>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</si>
  <si>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</si>
  <si>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</si>
  <si>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</si>
  <si>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</si>
  <si>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</si>
  <si>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</si>
  <si>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</si>
  <si>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</si>
  <si>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</si>
  <si>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</si>
  <si>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</si>
  <si>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</si>
  <si>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</si>
  <si>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</si>
  <si>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</si>
  <si>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</si>
  <si>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</si>
  <si>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</si>
  <si>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</si>
  <si>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</si>
  <si>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</si>
  <si>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</si>
  <si>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</si>
  <si>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</si>
  <si>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</si>
  <si>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</si>
  <si>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</si>
  <si>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</si>
  <si>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</si>
  <si>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</si>
  <si>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</si>
  <si>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</si>
  <si>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</si>
  <si>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</si>
  <si>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</si>
  <si>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</si>
  <si>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</si>
  <si>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</si>
  <si>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</si>
  <si>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</si>
  <si>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</si>
  <si>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</si>
  <si>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</si>
  <si>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</si>
  <si>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</si>
  <si>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</si>
  <si>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</si>
  <si>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</si>
  <si>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</si>
  <si>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</si>
  <si>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</si>
  <si>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</si>
  <si>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</si>
  <si>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</si>
  <si>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</si>
  <si>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</si>
  <si>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</si>
  <si>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</si>
  <si>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</si>
  <si>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</si>
  <si>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</si>
  <si>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</si>
  <si>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</si>
  <si>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</si>
  <si>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</si>
  <si>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</si>
  <si>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</si>
  <si>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</si>
  <si>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</si>
  <si>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</si>
  <si>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</si>
  <si>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</si>
  <si>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</si>
  <si>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</si>
  <si>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</si>
  <si>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</si>
  <si>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</si>
  <si>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</si>
  <si>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</si>
  <si>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</si>
  <si>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</si>
  <si>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</si>
  <si>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</si>
  <si>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</si>
  <si>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</si>
  <si>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</si>
  <si>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</si>
  <si>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</si>
  <si>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SST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</si>
  <si>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</si>
  <si>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</si>
  <si>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</si>
  <si>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품  명</t>
    <phoneticPr fontId="2" type="noConversion"/>
  </si>
  <si>
    <t>COVER</t>
    <phoneticPr fontId="2" type="noConversion"/>
  </si>
  <si>
    <t>STOPPPER</t>
    <phoneticPr fontId="2" type="noConversion"/>
  </si>
  <si>
    <t>발주분양산</t>
    <phoneticPr fontId="2" type="noConversion"/>
  </si>
  <si>
    <t>에젝터 이상</t>
    <phoneticPr fontId="2" type="noConversion"/>
  </si>
  <si>
    <t>소딕</t>
    <phoneticPr fontId="2" type="noConversion"/>
  </si>
  <si>
    <t>SF2255</t>
    <phoneticPr fontId="2" type="noConversion"/>
  </si>
  <si>
    <t>SGF2030</t>
    <phoneticPr fontId="2" type="noConversion"/>
  </si>
  <si>
    <t>SGF2033 N/P</t>
    <phoneticPr fontId="2" type="noConversion"/>
  </si>
  <si>
    <t>에젝터 볼스크류 교체 완료</t>
    <phoneticPr fontId="2" type="noConversion"/>
  </si>
  <si>
    <t>K-AR3533-1A</t>
    <phoneticPr fontId="2" type="noConversion"/>
  </si>
  <si>
    <t>72P</t>
    <phoneticPr fontId="2" type="noConversion"/>
  </si>
  <si>
    <t>K-AR3464-1A</t>
    <phoneticPr fontId="2" type="noConversion"/>
  </si>
  <si>
    <t>ACTUATOR</t>
    <phoneticPr fontId="2" type="noConversion"/>
  </si>
  <si>
    <t>HICON</t>
    <phoneticPr fontId="2" type="noConversion"/>
  </si>
  <si>
    <t>SGF2041</t>
    <phoneticPr fontId="2" type="noConversion"/>
  </si>
  <si>
    <t>JD4901</t>
    <phoneticPr fontId="2" type="noConversion"/>
  </si>
  <si>
    <t>SLIDER</t>
    <phoneticPr fontId="2" type="noConversion"/>
  </si>
  <si>
    <t>KR6463-GA180PLA</t>
  </si>
  <si>
    <t>EEEEEEEEEEEEEEEEEEEEEEEEE</t>
    <phoneticPr fontId="2" type="noConversion"/>
  </si>
  <si>
    <t>K-JR01887-A221ATA</t>
    <phoneticPr fontId="2" type="noConversion"/>
  </si>
  <si>
    <t>K-AR3532-1A</t>
    <phoneticPr fontId="2" type="noConversion"/>
  </si>
  <si>
    <t>31호기</t>
    <phoneticPr fontId="2" type="noConversion"/>
  </si>
  <si>
    <t>32호기</t>
    <phoneticPr fontId="2" type="noConversion"/>
  </si>
  <si>
    <t>33호기</t>
    <phoneticPr fontId="2" type="noConversion"/>
  </si>
  <si>
    <t>34호기</t>
    <phoneticPr fontId="2" type="noConversion"/>
  </si>
  <si>
    <t>35호기</t>
    <phoneticPr fontId="2" type="noConversion"/>
  </si>
  <si>
    <t>36호기</t>
    <phoneticPr fontId="2" type="noConversion"/>
  </si>
  <si>
    <t>13</t>
    <phoneticPr fontId="2" type="noConversion"/>
  </si>
  <si>
    <t>7301</t>
    <phoneticPr fontId="2" type="noConversion"/>
  </si>
  <si>
    <t>라인</t>
    <phoneticPr fontId="2" type="noConversion"/>
  </si>
  <si>
    <t>Pattern Cover-1</t>
    <phoneticPr fontId="2" type="noConversion"/>
  </si>
  <si>
    <t>LCP ESD</t>
    <phoneticPr fontId="2" type="noConversion"/>
  </si>
  <si>
    <t>AMB0172A-KAA-R3</t>
    <phoneticPr fontId="2" type="noConversion"/>
  </si>
  <si>
    <t>SGF2033</t>
    <phoneticPr fontId="2" type="noConversion"/>
  </si>
  <si>
    <t>수정</t>
    <phoneticPr fontId="2" type="noConversion"/>
  </si>
  <si>
    <t>2</t>
    <phoneticPr fontId="2" type="noConversion"/>
  </si>
  <si>
    <t>5</t>
    <phoneticPr fontId="2" type="noConversion"/>
  </si>
  <si>
    <t>OKINS</t>
    <phoneticPr fontId="2" type="noConversion"/>
  </si>
  <si>
    <t>G1300H</t>
    <phoneticPr fontId="2" type="noConversion"/>
  </si>
  <si>
    <t>HDBF05-M02B1</t>
    <phoneticPr fontId="2" type="noConversion"/>
  </si>
  <si>
    <t>SGF2041 N/P</t>
    <phoneticPr fontId="2" type="noConversion"/>
  </si>
  <si>
    <t>HDBF05-M01B1</t>
    <phoneticPr fontId="2" type="noConversion"/>
  </si>
  <si>
    <t>HDBF05-M04B1</t>
    <phoneticPr fontId="2" type="noConversion"/>
  </si>
  <si>
    <t>LEAD GUIDE</t>
    <phoneticPr fontId="2" type="noConversion"/>
  </si>
  <si>
    <t>288C64A-U149B</t>
    <phoneticPr fontId="2" type="noConversion"/>
  </si>
  <si>
    <t>U/BASE</t>
    <phoneticPr fontId="2" type="noConversion"/>
  </si>
  <si>
    <t>RIVET</t>
    <phoneticPr fontId="2" type="noConversion"/>
  </si>
  <si>
    <t>RTP Y/L</t>
    <phoneticPr fontId="2" type="noConversion"/>
  </si>
  <si>
    <t>AMB0482A-KAA-R1</t>
    <phoneticPr fontId="2" type="noConversion"/>
  </si>
  <si>
    <t>AMB0186A-KAA-R1</t>
    <phoneticPr fontId="2" type="noConversion"/>
  </si>
  <si>
    <t>AMB1918A-KAA-R1</t>
    <phoneticPr fontId="2" type="noConversion"/>
  </si>
  <si>
    <t>AMB0154A-KAA-R1</t>
    <phoneticPr fontId="2" type="noConversion"/>
  </si>
  <si>
    <t>TOP/BOTTOM</t>
    <phoneticPr fontId="2" type="noConversion"/>
  </si>
  <si>
    <t>HL480-T1 / B1</t>
    <phoneticPr fontId="2" type="noConversion"/>
  </si>
  <si>
    <t>AMC0821A-KAA-R1</t>
    <phoneticPr fontId="2" type="noConversion"/>
  </si>
  <si>
    <t>AMB1904F-KAA-R1</t>
    <phoneticPr fontId="2" type="noConversion"/>
  </si>
  <si>
    <t>AMS08155A-KBB-R2</t>
    <phoneticPr fontId="2" type="noConversion"/>
  </si>
  <si>
    <t>M2</t>
    <phoneticPr fontId="2" type="noConversion"/>
  </si>
  <si>
    <r>
      <t>2021년 06월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</si>
  <si>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06월 호기별 가동현황</t>
    <phoneticPr fontId="2" type="noConversion"/>
  </si>
  <si>
    <t>SGF2050 N/P</t>
    <phoneticPr fontId="2" type="noConversion"/>
  </si>
  <si>
    <t>M2 CONN</t>
    <phoneticPr fontId="2" type="noConversion"/>
  </si>
  <si>
    <t>전일 ISSUE 사항(01일)</t>
    <phoneticPr fontId="2" type="noConversion"/>
  </si>
  <si>
    <t>코아파손2회수리</t>
    <phoneticPr fontId="2" type="noConversion"/>
  </si>
  <si>
    <t>AMB1904F-KAA-R1</t>
    <phoneticPr fontId="2" type="noConversion"/>
  </si>
  <si>
    <t>1</t>
    <phoneticPr fontId="2" type="noConversion"/>
  </si>
  <si>
    <t>ACTUATOR</t>
    <phoneticPr fontId="2" type="noConversion"/>
  </si>
  <si>
    <t>AMB1918A-KAA-R1</t>
    <phoneticPr fontId="2" type="noConversion"/>
  </si>
  <si>
    <t>에젝타수리</t>
    <phoneticPr fontId="2" type="noConversion"/>
  </si>
  <si>
    <t>14</t>
    <phoneticPr fontId="2" type="noConversion"/>
  </si>
  <si>
    <t>당일 진행 사항(02일)</t>
    <phoneticPr fontId="2" type="noConversion"/>
  </si>
  <si>
    <t>NP413-187-105#IN-B</t>
    <phoneticPr fontId="2" type="noConversion"/>
  </si>
  <si>
    <t>NP413-187-105#MO</t>
    <phoneticPr fontId="2" type="noConversion"/>
  </si>
  <si>
    <t>NP413-187-105#IN-A</t>
    <phoneticPr fontId="2" type="noConversion"/>
  </si>
  <si>
    <t>KR6156-D841PA</t>
    <phoneticPr fontId="2" type="noConversion"/>
  </si>
  <si>
    <t>AMB1901D-JAA-R2</t>
    <phoneticPr fontId="2" type="noConversion"/>
  </si>
  <si>
    <t>AYE</t>
    <phoneticPr fontId="2" type="noConversion"/>
  </si>
  <si>
    <t>3</t>
    <phoneticPr fontId="2" type="noConversion"/>
  </si>
  <si>
    <t>4</t>
    <phoneticPr fontId="2" type="noConversion"/>
  </si>
  <si>
    <t>SST</t>
    <phoneticPr fontId="2" type="noConversion"/>
  </si>
  <si>
    <t>6</t>
    <phoneticPr fontId="2" type="noConversion"/>
  </si>
  <si>
    <t>STOPPER</t>
    <phoneticPr fontId="2" type="noConversion"/>
  </si>
  <si>
    <t>MCS</t>
    <phoneticPr fontId="2" type="noConversion"/>
  </si>
  <si>
    <t>SAMPLE 진행 사항(01일)</t>
    <phoneticPr fontId="2" type="noConversion"/>
  </si>
  <si>
    <t>AMB0360A-KAA-R2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</si>
  <si>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</si>
  <si>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</si>
  <si>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2021년 06월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</si>
  <si>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F/ADAPTER</t>
    <phoneticPr fontId="2" type="noConversion"/>
  </si>
  <si>
    <t>AMB20D7A-KAA-R5</t>
    <phoneticPr fontId="2" type="noConversion"/>
  </si>
  <si>
    <t>SF2255 I/V</t>
    <phoneticPr fontId="2" type="noConversion"/>
  </si>
  <si>
    <t>SGP2030R</t>
    <phoneticPr fontId="2" type="noConversion"/>
  </si>
  <si>
    <t>전일 ISSUE 사항(02일)</t>
    <phoneticPr fontId="2" type="noConversion"/>
  </si>
  <si>
    <t>펌퍼NG 수리안함-&gt;1C파손막음</t>
    <phoneticPr fontId="2" type="noConversion"/>
  </si>
  <si>
    <t>발주분양산-&gt;파손손정지</t>
    <phoneticPr fontId="2" type="noConversion"/>
  </si>
  <si>
    <t>당일 진행 사항(03일)</t>
    <phoneticPr fontId="2" type="noConversion"/>
  </si>
  <si>
    <t>수리후양산</t>
    <phoneticPr fontId="2" type="noConversion"/>
  </si>
  <si>
    <t>AMB0187A-KAA-R1</t>
    <phoneticPr fontId="2" type="noConversion"/>
  </si>
  <si>
    <t>7</t>
    <phoneticPr fontId="2" type="noConversion"/>
  </si>
  <si>
    <t>15</t>
    <phoneticPr fontId="2" type="noConversion"/>
  </si>
  <si>
    <t>AMB1935A-KAA-R1</t>
    <phoneticPr fontId="2" type="noConversion"/>
  </si>
  <si>
    <t>AMM0890A-KAE-R1</t>
    <phoneticPr fontId="2" type="noConversion"/>
  </si>
  <si>
    <t>9</t>
    <phoneticPr fontId="2" type="noConversion"/>
  </si>
  <si>
    <t>SAMPLE 진행 사항(02일)</t>
    <phoneticPr fontId="2" type="noConversion"/>
  </si>
  <si>
    <t>FLOATING</t>
    <phoneticPr fontId="2" type="noConversion"/>
  </si>
  <si>
    <t>NEXT</t>
    <phoneticPr fontId="2" type="noConversion"/>
  </si>
  <si>
    <t>신작</t>
    <phoneticPr fontId="2" type="noConversion"/>
  </si>
  <si>
    <t>KR6197-GR153JB</t>
    <phoneticPr fontId="2" type="noConversion"/>
  </si>
  <si>
    <t>ADAPTER</t>
    <phoneticPr fontId="2" type="noConversion"/>
  </si>
  <si>
    <t>BLUE</t>
    <phoneticPr fontId="2" type="noConversion"/>
  </si>
  <si>
    <t>10</t>
    <phoneticPr fontId="2" type="noConversion"/>
  </si>
  <si>
    <t>AMB0250A-KAA-R1</t>
    <phoneticPr fontId="2" type="noConversion"/>
  </si>
  <si>
    <t>AMB0248A-KAA-R1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</si>
  <si>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</si>
  <si>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</si>
  <si>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2021년 06월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</si>
  <si>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AMB0244A-KAA-R1</t>
    <phoneticPr fontId="2" type="noConversion"/>
  </si>
  <si>
    <t>전일 ISSUE 사항(03일)</t>
    <phoneticPr fontId="2" type="noConversion"/>
  </si>
  <si>
    <t>수리후양산-&gt;코아파손2회수리</t>
    <phoneticPr fontId="2" type="noConversion"/>
  </si>
  <si>
    <t>8</t>
    <phoneticPr fontId="2" type="noConversion"/>
  </si>
  <si>
    <t>발주분양산-&gt;런너막힘수리</t>
    <phoneticPr fontId="2" type="noConversion"/>
  </si>
  <si>
    <t>긁힘정지</t>
    <phoneticPr fontId="2" type="noConversion"/>
  </si>
  <si>
    <t>발주분양산-&gt;코아파손3회정지</t>
    <phoneticPr fontId="2" type="noConversion"/>
  </si>
  <si>
    <t>당일 진행 사항(04일)</t>
    <phoneticPr fontId="2" type="noConversion"/>
  </si>
  <si>
    <t>SAMPLE 진행 사항(03일)</t>
    <phoneticPr fontId="2" type="noConversion"/>
  </si>
  <si>
    <t>New Pattern Cover</t>
    <phoneticPr fontId="2" type="noConversion"/>
  </si>
  <si>
    <t>11</t>
    <phoneticPr fontId="2" type="noConversion"/>
  </si>
  <si>
    <t>HS05B-BASE1</t>
    <phoneticPr fontId="2" type="noConversion"/>
  </si>
  <si>
    <t>AMB0189A-KAA-R2</t>
    <phoneticPr fontId="2" type="noConversion"/>
  </si>
  <si>
    <t>AMB0188A-KAA-R2</t>
    <phoneticPr fontId="2" type="noConversion"/>
  </si>
  <si>
    <r>
      <t>2021년 06월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</si>
  <si>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NP504-291-147#LO</t>
    <phoneticPr fontId="2" type="noConversion"/>
  </si>
  <si>
    <t>전일 ISSUE 사항(04일)</t>
    <phoneticPr fontId="2" type="noConversion"/>
  </si>
  <si>
    <t>코아파손4회정지</t>
    <phoneticPr fontId="2" type="noConversion"/>
  </si>
  <si>
    <t>에젝타 파손-&gt;코아파손수리</t>
    <phoneticPr fontId="2" type="noConversion"/>
  </si>
  <si>
    <t>수리후양산-&gt;코아파손정지</t>
    <phoneticPr fontId="2" type="noConversion"/>
  </si>
  <si>
    <t>AMM0827A-KAA-R2</t>
    <phoneticPr fontId="2" type="noConversion"/>
  </si>
  <si>
    <t>SAMPLE 진행 사항(04일)</t>
    <phoneticPr fontId="2" type="noConversion"/>
  </si>
  <si>
    <t>KR6165-GG154HA</t>
    <phoneticPr fontId="2" type="noConversion"/>
  </si>
  <si>
    <t>SGP2030R N/P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</si>
  <si>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</si>
  <si>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</si>
  <si>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2021년 06월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</si>
  <si>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전일 ISSUE 사항(05일)</t>
    <phoneticPr fontId="2" type="noConversion"/>
  </si>
  <si>
    <t>수리후양산-&gt;코아파손3회정지</t>
    <phoneticPr fontId="2" type="noConversion"/>
  </si>
  <si>
    <t>미성형정지</t>
    <phoneticPr fontId="2" type="noConversion"/>
  </si>
  <si>
    <t>발주분양산-&gt;코아파손정지</t>
    <phoneticPr fontId="2" type="noConversion"/>
  </si>
  <si>
    <t>코아파손1C막음</t>
    <phoneticPr fontId="2" type="noConversion"/>
  </si>
  <si>
    <t>당일 진행 사항(06일)</t>
    <phoneticPr fontId="2" type="noConversion"/>
  </si>
  <si>
    <t>NP504-291-147#SP-B</t>
    <phoneticPr fontId="2" type="noConversion"/>
  </si>
  <si>
    <t>KR6156BB841CA</t>
    <phoneticPr fontId="2" type="noConversion"/>
  </si>
  <si>
    <t>SAMPLE 진행 사항(05일)</t>
    <phoneticPr fontId="2" type="noConversion"/>
  </si>
  <si>
    <t>AMB0196A-KAA-R2</t>
    <phoneticPr fontId="2" type="noConversion"/>
  </si>
  <si>
    <t>AMB0194A-KAA-R2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</si>
  <si>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</si>
  <si>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</si>
  <si>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2021년 06월 06일(주간)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</si>
  <si>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 xml:space="preserve">SGF2033 </t>
    <phoneticPr fontId="2" type="noConversion"/>
  </si>
  <si>
    <t>전일 ISSUE 사항(06일)</t>
    <phoneticPr fontId="2" type="noConversion"/>
  </si>
  <si>
    <t>수리후양산-&gt;코아파손2회정지</t>
    <phoneticPr fontId="2" type="noConversion"/>
  </si>
  <si>
    <t>밀핀파손정지</t>
    <phoneticPr fontId="2" type="noConversion"/>
  </si>
  <si>
    <t>당일 진행 사항(07일)</t>
    <phoneticPr fontId="2" type="noConversion"/>
  </si>
  <si>
    <t>NP504-291-147#SP-A</t>
    <phoneticPr fontId="2" type="noConversion"/>
  </si>
  <si>
    <t>구조변경양산</t>
    <phoneticPr fontId="2" type="noConversion"/>
  </si>
  <si>
    <t>세척후양산</t>
    <phoneticPr fontId="2" type="noConversion"/>
  </si>
  <si>
    <t>SAMPLE 진행 사항(06일)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</si>
  <si>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</si>
  <si>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</si>
  <si>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2021년 06월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</si>
  <si>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288E84M-B102C-2</t>
    <phoneticPr fontId="2" type="noConversion"/>
  </si>
  <si>
    <t>전일 ISSUE 사항(07일)</t>
    <phoneticPr fontId="2" type="noConversion"/>
  </si>
  <si>
    <t>코아파손수리</t>
    <phoneticPr fontId="2" type="noConversion"/>
  </si>
  <si>
    <t>당일 진행 사항(08일)</t>
    <phoneticPr fontId="2" type="noConversion"/>
  </si>
  <si>
    <t>288C64A-U148A</t>
    <phoneticPr fontId="2" type="noConversion"/>
  </si>
  <si>
    <t>SAMPLE 진행 사항(07일)</t>
    <phoneticPr fontId="2" type="noConversion"/>
  </si>
  <si>
    <t>구조변경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</si>
  <si>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</si>
  <si>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</si>
  <si>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2021년 06월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</si>
  <si>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LATCH</t>
    <phoneticPr fontId="2" type="noConversion"/>
  </si>
  <si>
    <t>AMB09J3B-KAA-R1</t>
    <phoneticPr fontId="2" type="noConversion"/>
  </si>
  <si>
    <t>288C64A-U148A</t>
    <phoneticPr fontId="2" type="noConversion"/>
  </si>
  <si>
    <t>전일 ISSUE 사항(08일)</t>
    <phoneticPr fontId="2" type="noConversion"/>
  </si>
  <si>
    <t>밀핀파손수리</t>
    <phoneticPr fontId="2" type="noConversion"/>
  </si>
  <si>
    <t>치수확인후양산-&gt;밀핀수리</t>
    <phoneticPr fontId="2" type="noConversion"/>
  </si>
  <si>
    <t>AMB09J3B-KAA-R1</t>
    <phoneticPr fontId="2" type="noConversion"/>
  </si>
  <si>
    <t>발주분양산</t>
    <phoneticPr fontId="2" type="noConversion"/>
  </si>
  <si>
    <t>6</t>
    <phoneticPr fontId="2" type="noConversion"/>
  </si>
  <si>
    <t>LATCH</t>
    <phoneticPr fontId="2" type="noConversion"/>
  </si>
  <si>
    <t>AMB0244A-KAA-R1</t>
    <phoneticPr fontId="2" type="noConversion"/>
  </si>
  <si>
    <t>세척후양산</t>
    <phoneticPr fontId="2" type="noConversion"/>
  </si>
  <si>
    <t>8</t>
    <phoneticPr fontId="2" type="noConversion"/>
  </si>
  <si>
    <t>STOPPER</t>
    <phoneticPr fontId="2" type="noConversion"/>
  </si>
  <si>
    <t>치수확인후양산</t>
    <phoneticPr fontId="2" type="noConversion"/>
  </si>
  <si>
    <t>OKINS</t>
    <phoneticPr fontId="2" type="noConversion"/>
  </si>
  <si>
    <t>9</t>
    <phoneticPr fontId="2" type="noConversion"/>
  </si>
  <si>
    <t>U/B</t>
    <phoneticPr fontId="2" type="noConversion"/>
  </si>
  <si>
    <t>AMB1901D-JAA-R2</t>
    <phoneticPr fontId="2" type="noConversion"/>
  </si>
  <si>
    <t>14</t>
    <phoneticPr fontId="2" type="noConversion"/>
  </si>
  <si>
    <t>당일 진행 사항(09일)</t>
    <phoneticPr fontId="2" type="noConversion"/>
  </si>
  <si>
    <t>AMB20G7B-KAA-R1</t>
    <phoneticPr fontId="2" type="noConversion"/>
  </si>
  <si>
    <t>1</t>
    <phoneticPr fontId="2" type="noConversion"/>
  </si>
  <si>
    <t>F/A</t>
    <phoneticPr fontId="2" type="noConversion"/>
  </si>
  <si>
    <t>NP413-187-105#IN-A</t>
    <phoneticPr fontId="2" type="noConversion"/>
  </si>
  <si>
    <t>AYE</t>
    <phoneticPr fontId="2" type="noConversion"/>
  </si>
  <si>
    <t>5</t>
    <phoneticPr fontId="2" type="noConversion"/>
  </si>
  <si>
    <t>AMB09J4C-KAB-R1</t>
    <phoneticPr fontId="2" type="noConversion"/>
  </si>
  <si>
    <t>LATCH PLATE</t>
    <phoneticPr fontId="2" type="noConversion"/>
  </si>
  <si>
    <t>AMB0365A-KAA-R1</t>
    <phoneticPr fontId="2" type="noConversion"/>
  </si>
  <si>
    <t>AMB0193A-KAA-R1</t>
    <phoneticPr fontId="2" type="noConversion"/>
  </si>
  <si>
    <t>11</t>
    <phoneticPr fontId="2" type="noConversion"/>
  </si>
  <si>
    <t>13</t>
    <phoneticPr fontId="2" type="noConversion"/>
  </si>
  <si>
    <t>COVER</t>
    <phoneticPr fontId="2" type="noConversion"/>
  </si>
  <si>
    <t>BASE</t>
    <phoneticPr fontId="2" type="noConversion"/>
  </si>
  <si>
    <t>SAMPLE 진행 사항(08일)</t>
    <phoneticPr fontId="2" type="noConversion"/>
  </si>
  <si>
    <t>XP2S 플로팅(0.175p)</t>
    <phoneticPr fontId="2" type="noConversion"/>
  </si>
  <si>
    <t>NEXT</t>
    <phoneticPr fontId="2" type="noConversion"/>
  </si>
  <si>
    <t>SF2255</t>
    <phoneticPr fontId="2" type="noConversion"/>
  </si>
  <si>
    <t>수정</t>
    <phoneticPr fontId="2" type="noConversion"/>
  </si>
  <si>
    <t>288C64A-B148A</t>
    <phoneticPr fontId="2" type="noConversion"/>
  </si>
  <si>
    <t>HS05B-BASE1</t>
    <phoneticPr fontId="2" type="noConversion"/>
  </si>
  <si>
    <t>HSA08-M01A1(4C)</t>
    <phoneticPr fontId="2" type="noConversion"/>
  </si>
  <si>
    <t>HICON</t>
    <phoneticPr fontId="2" type="noConversion"/>
  </si>
  <si>
    <t>SGF2041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</si>
  <si>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</si>
  <si>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</si>
  <si>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2021년 06월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</si>
  <si>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NEW Pattern Cover</t>
    <phoneticPr fontId="2" type="noConversion"/>
  </si>
  <si>
    <t>AMB20G7B-KAA-R1</t>
    <phoneticPr fontId="2" type="noConversion"/>
  </si>
  <si>
    <t>AMB0365S-KAA-R1</t>
    <phoneticPr fontId="2" type="noConversion"/>
  </si>
  <si>
    <t>전일 ISSUE 사항(09일)</t>
    <phoneticPr fontId="2" type="noConversion"/>
  </si>
  <si>
    <t>NP413-187-105#IN-A</t>
    <phoneticPr fontId="2" type="noConversion"/>
  </si>
  <si>
    <t>AMB0365A-KAA-R1</t>
    <phoneticPr fontId="2" type="noConversion"/>
  </si>
  <si>
    <t>11</t>
    <phoneticPr fontId="2" type="noConversion"/>
  </si>
  <si>
    <t>COVER</t>
    <phoneticPr fontId="2" type="noConversion"/>
  </si>
  <si>
    <t>13</t>
    <phoneticPr fontId="2" type="noConversion"/>
  </si>
  <si>
    <t>BASE</t>
    <phoneticPr fontId="2" type="noConversion"/>
  </si>
  <si>
    <t>AMB0193A-KAA-R1</t>
    <phoneticPr fontId="2" type="noConversion"/>
  </si>
  <si>
    <t>발주분양산-&gt;가스정지</t>
    <phoneticPr fontId="2" type="noConversion"/>
  </si>
  <si>
    <t>당일 진행 사항(10일)</t>
    <phoneticPr fontId="2" type="noConversion"/>
  </si>
  <si>
    <t>AMB07Z2A-KAA-R1</t>
    <phoneticPr fontId="2" type="noConversion"/>
  </si>
  <si>
    <t>AMB0484A-KAA-R1</t>
    <phoneticPr fontId="2" type="noConversion"/>
  </si>
  <si>
    <t>7</t>
    <phoneticPr fontId="2" type="noConversion"/>
  </si>
  <si>
    <t>LEAD GUIDE</t>
    <phoneticPr fontId="2" type="noConversion"/>
  </si>
  <si>
    <t>6</t>
    <phoneticPr fontId="2" type="noConversion"/>
  </si>
  <si>
    <t>LATCH PLATE</t>
    <phoneticPr fontId="2" type="noConversion"/>
  </si>
  <si>
    <t>AMB09J4C-KAB-R1</t>
    <phoneticPr fontId="2" type="noConversion"/>
  </si>
  <si>
    <t>SAMPLE 진행 사항(09일)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</si>
  <si>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</si>
  <si>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</si>
  <si>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2021년 06월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</si>
  <si>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LOCKER/HINGE</t>
    <phoneticPr fontId="2" type="noConversion"/>
  </si>
  <si>
    <t>G3-M-02A/03A</t>
    <phoneticPr fontId="2" type="noConversion"/>
  </si>
  <si>
    <t>2*1</t>
    <phoneticPr fontId="2" type="noConversion"/>
  </si>
  <si>
    <t>전일 ISSUE 사항(10일)</t>
    <phoneticPr fontId="2" type="noConversion"/>
  </si>
  <si>
    <t>LOCKET/HINGE</t>
    <phoneticPr fontId="2" type="noConversion"/>
  </si>
  <si>
    <t>AMB0484A-KAA-R1</t>
    <phoneticPr fontId="2" type="noConversion"/>
  </si>
  <si>
    <t>발주분양산-&gt;BURR정지</t>
    <phoneticPr fontId="2" type="noConversion"/>
  </si>
  <si>
    <t>7</t>
    <phoneticPr fontId="2" type="noConversion"/>
  </si>
  <si>
    <t>LEAD GUIDE</t>
    <phoneticPr fontId="2" type="noConversion"/>
  </si>
  <si>
    <t>발주분양산-&gt;단차2회정지</t>
    <phoneticPr fontId="2" type="noConversion"/>
  </si>
  <si>
    <t>당일 진행 사항(11일)</t>
    <phoneticPr fontId="2" type="noConversion"/>
  </si>
  <si>
    <t>K-AR3544-1A</t>
    <phoneticPr fontId="2" type="noConversion"/>
  </si>
  <si>
    <t>SST</t>
    <phoneticPr fontId="2" type="noConversion"/>
  </si>
  <si>
    <t>발주분양산</t>
    <phoneticPr fontId="2" type="noConversion"/>
  </si>
  <si>
    <t>HB1208-10M3</t>
    <phoneticPr fontId="2" type="noConversion"/>
  </si>
  <si>
    <t>HICON</t>
    <phoneticPr fontId="2" type="noConversion"/>
  </si>
  <si>
    <t>13</t>
    <phoneticPr fontId="2" type="noConversion"/>
  </si>
  <si>
    <t>FLOATING</t>
    <phoneticPr fontId="2" type="noConversion"/>
  </si>
  <si>
    <t>SAMPLE 진행 사항(10일)</t>
    <phoneticPr fontId="2" type="noConversion"/>
  </si>
  <si>
    <t>AMB09J4C-KAB-R1</t>
    <phoneticPr fontId="2" type="noConversion"/>
  </si>
  <si>
    <t>MCS</t>
    <phoneticPr fontId="2" type="noConversion"/>
  </si>
  <si>
    <t>LATCH PLATE</t>
    <phoneticPr fontId="2" type="noConversion"/>
  </si>
  <si>
    <t>JD4901</t>
    <phoneticPr fontId="2" type="noConversion"/>
  </si>
  <si>
    <t>수정</t>
    <phoneticPr fontId="2" type="noConversion"/>
  </si>
  <si>
    <t>6</t>
    <phoneticPr fontId="2" type="noConversion"/>
  </si>
  <si>
    <t>원재료NG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</si>
  <si>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</si>
  <si>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</si>
  <si>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2021년 06월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</si>
  <si>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AMB1917D-KAA-R1</t>
    <phoneticPr fontId="2" type="noConversion"/>
  </si>
  <si>
    <t>수리후양산-&gt;코아파손 1C막음</t>
    <phoneticPr fontId="2" type="noConversion"/>
  </si>
  <si>
    <t>STOPPER</t>
    <phoneticPr fontId="2" type="noConversion"/>
  </si>
  <si>
    <t>설비이상정지</t>
    <phoneticPr fontId="2" type="noConversion"/>
  </si>
  <si>
    <t>발주분양산-&gt;게이트수리</t>
    <phoneticPr fontId="2" type="noConversion"/>
  </si>
  <si>
    <t>발주분양산-&gt;BURR수리-&gt;미성형수리-&gt;휨수리</t>
    <phoneticPr fontId="2" type="noConversion"/>
  </si>
  <si>
    <t>11</t>
    <phoneticPr fontId="2" type="noConversion"/>
  </si>
  <si>
    <t>BASE</t>
    <phoneticPr fontId="2" type="noConversion"/>
  </si>
  <si>
    <t>AMB0193A-KAA-R1</t>
    <phoneticPr fontId="2" type="noConversion"/>
  </si>
  <si>
    <t>수리후양산</t>
    <phoneticPr fontId="2" type="noConversion"/>
  </si>
  <si>
    <t>K-AR3544-1A</t>
    <phoneticPr fontId="2" type="noConversion"/>
  </si>
  <si>
    <t>발주분양산-&gt;칼퀴수리</t>
    <phoneticPr fontId="2" type="noConversion"/>
  </si>
  <si>
    <t>SST</t>
    <phoneticPr fontId="2" type="noConversion"/>
  </si>
  <si>
    <t>7</t>
    <phoneticPr fontId="2" type="noConversion"/>
  </si>
  <si>
    <t>전일 ISSUE 사항(11일)</t>
    <phoneticPr fontId="2" type="noConversion"/>
  </si>
  <si>
    <t>당일 진행 사항(14일)</t>
    <phoneticPr fontId="2" type="noConversion"/>
  </si>
  <si>
    <t>COVER</t>
    <phoneticPr fontId="2" type="noConversion"/>
  </si>
  <si>
    <t>K-AR3546-1A</t>
    <phoneticPr fontId="2" type="noConversion"/>
  </si>
  <si>
    <t>K-AR3545-1A</t>
    <phoneticPr fontId="2" type="noConversion"/>
  </si>
  <si>
    <t>HB1208-10M1</t>
    <phoneticPr fontId="2" type="noConversion"/>
  </si>
  <si>
    <t>2</t>
    <phoneticPr fontId="2" type="noConversion"/>
  </si>
  <si>
    <t>HDBF05-M02B1</t>
    <phoneticPr fontId="2" type="noConversion"/>
  </si>
  <si>
    <t>세척후양산</t>
    <phoneticPr fontId="2" type="noConversion"/>
  </si>
  <si>
    <t>SAMPLE 진행 사항(11일)</t>
    <phoneticPr fontId="2" type="noConversion"/>
  </si>
  <si>
    <t>PX13012</t>
    <phoneticPr fontId="2" type="noConversion"/>
  </si>
  <si>
    <t>HICON</t>
    <phoneticPr fontId="2" type="noConversion"/>
  </si>
  <si>
    <t>HSA08-M03A1(CC)</t>
    <phoneticPr fontId="2" type="noConversion"/>
  </si>
  <si>
    <t>JD4901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</si>
  <si>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</si>
  <si>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</si>
  <si>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2021년 06월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</si>
  <si>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HSA08-M03A1</t>
    <phoneticPr fontId="2" type="noConversion"/>
  </si>
  <si>
    <t>SGF2030TC</t>
    <phoneticPr fontId="2" type="noConversion"/>
  </si>
  <si>
    <t>전일 ISSUE 사항(14일)</t>
    <phoneticPr fontId="2" type="noConversion"/>
  </si>
  <si>
    <t>발주분양산-&gt;코아파손수리</t>
    <phoneticPr fontId="2" type="noConversion"/>
  </si>
  <si>
    <t>발주분양산-&gt;뜯김수리</t>
    <phoneticPr fontId="2" type="noConversion"/>
  </si>
  <si>
    <t>당일 진행 사항(15일)</t>
    <phoneticPr fontId="2" type="noConversion"/>
  </si>
  <si>
    <t>13</t>
    <phoneticPr fontId="2" type="noConversion"/>
  </si>
  <si>
    <t>BOTTOM</t>
    <phoneticPr fontId="2" type="noConversion"/>
  </si>
  <si>
    <t>HB1208-10M2</t>
    <phoneticPr fontId="2" type="noConversion"/>
  </si>
  <si>
    <t>발주분양산</t>
    <phoneticPr fontId="2" type="noConversion"/>
  </si>
  <si>
    <t>AMB0403A-JAA-R4</t>
    <phoneticPr fontId="2" type="noConversion"/>
  </si>
  <si>
    <t>6</t>
    <phoneticPr fontId="2" type="noConversion"/>
  </si>
  <si>
    <t>LEAD GUIDE</t>
    <phoneticPr fontId="2" type="noConversion"/>
  </si>
  <si>
    <t>SAMPLE 진행 사항(14일)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</si>
  <si>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</si>
  <si>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</si>
  <si>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2021년 06월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</si>
  <si>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12*12 BOTTOM</t>
    <phoneticPr fontId="2" type="noConversion"/>
  </si>
  <si>
    <t>HB12X12-1.3-22B1</t>
    <phoneticPr fontId="2" type="noConversion"/>
  </si>
  <si>
    <t>전일 ISSUE 사항(15일)</t>
    <phoneticPr fontId="2" type="noConversion"/>
  </si>
  <si>
    <t>BURR 1C막음</t>
    <phoneticPr fontId="2" type="noConversion"/>
  </si>
  <si>
    <t>뜯김1C막음</t>
    <phoneticPr fontId="2" type="noConversion"/>
  </si>
  <si>
    <t>12X12</t>
    <phoneticPr fontId="2" type="noConversion"/>
  </si>
  <si>
    <t>당일 진행 사항(16일)</t>
    <phoneticPr fontId="2" type="noConversion"/>
  </si>
  <si>
    <t>13</t>
    <phoneticPr fontId="2" type="noConversion"/>
  </si>
  <si>
    <t>STOPPER</t>
    <phoneticPr fontId="2" type="noConversion"/>
  </si>
  <si>
    <t>AMB0443A-KAA-R2</t>
    <phoneticPr fontId="2" type="noConversion"/>
  </si>
  <si>
    <t>AMB07M4A-KAA-R1</t>
    <phoneticPr fontId="2" type="noConversion"/>
  </si>
  <si>
    <t>KR6156CA841YA</t>
    <phoneticPr fontId="2" type="noConversion"/>
  </si>
  <si>
    <t>SST</t>
    <phoneticPr fontId="2" type="noConversion"/>
  </si>
  <si>
    <t>4</t>
    <phoneticPr fontId="2" type="noConversion"/>
  </si>
  <si>
    <t>AMB0403A-JAA-R4</t>
    <phoneticPr fontId="2" type="noConversion"/>
  </si>
  <si>
    <t>6</t>
    <phoneticPr fontId="2" type="noConversion"/>
  </si>
  <si>
    <t>LEAD GUIDE</t>
    <phoneticPr fontId="2" type="noConversion"/>
  </si>
  <si>
    <t>288C64A-B148A</t>
    <phoneticPr fontId="2" type="noConversion"/>
  </si>
  <si>
    <t>승인후양산</t>
    <phoneticPr fontId="2" type="noConversion"/>
  </si>
  <si>
    <t>OKINS</t>
    <phoneticPr fontId="2" type="noConversion"/>
  </si>
  <si>
    <t>9</t>
    <phoneticPr fontId="2" type="noConversion"/>
  </si>
  <si>
    <t>BASE</t>
    <phoneticPr fontId="2" type="noConversion"/>
  </si>
  <si>
    <t>AMB1917D-KAA-R1</t>
    <phoneticPr fontId="2" type="noConversion"/>
  </si>
  <si>
    <t>세척후양산</t>
    <phoneticPr fontId="2" type="noConversion"/>
  </si>
  <si>
    <t>14</t>
    <phoneticPr fontId="2" type="noConversion"/>
  </si>
  <si>
    <t>ACTUATOR</t>
    <phoneticPr fontId="2" type="noConversion"/>
  </si>
  <si>
    <t>SAMPLE 진행 사항(15일)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</si>
  <si>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</si>
  <si>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</si>
  <si>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2021년 06월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</si>
  <si>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8301</t>
    <phoneticPr fontId="2" type="noConversion"/>
  </si>
  <si>
    <t>SGF2050</t>
    <phoneticPr fontId="2" type="noConversion"/>
  </si>
  <si>
    <t>전일 ISSUE 사항(16일)</t>
    <phoneticPr fontId="2" type="noConversion"/>
  </si>
  <si>
    <t>SST</t>
    <phoneticPr fontId="2" type="noConversion"/>
  </si>
  <si>
    <t>4</t>
    <phoneticPr fontId="2" type="noConversion"/>
  </si>
  <si>
    <t>KR6156CA841YA</t>
    <phoneticPr fontId="2" type="noConversion"/>
  </si>
  <si>
    <t>발주분양산-&gt;코아파손수리-&gt;HOOK크랙 정지</t>
    <phoneticPr fontId="2" type="noConversion"/>
  </si>
  <si>
    <t>OKINS</t>
    <phoneticPr fontId="2" type="noConversion"/>
  </si>
  <si>
    <t>9</t>
    <phoneticPr fontId="2" type="noConversion"/>
  </si>
  <si>
    <t>BASE</t>
    <phoneticPr fontId="2" type="noConversion"/>
  </si>
  <si>
    <t>288C64A-B148A</t>
    <phoneticPr fontId="2" type="noConversion"/>
  </si>
  <si>
    <t>당일 진행 사항(17일)</t>
    <phoneticPr fontId="2" type="noConversion"/>
  </si>
  <si>
    <t>AMB0150A-KAA-R2</t>
    <phoneticPr fontId="2" type="noConversion"/>
  </si>
  <si>
    <t>AMB07M4C-KAA-R1</t>
    <phoneticPr fontId="2" type="noConversion"/>
  </si>
  <si>
    <t>HICON</t>
    <phoneticPr fontId="2" type="noConversion"/>
  </si>
  <si>
    <t>7</t>
    <phoneticPr fontId="2" type="noConversion"/>
  </si>
  <si>
    <t>HSB05-M001B1</t>
    <phoneticPr fontId="2" type="noConversion"/>
  </si>
  <si>
    <t>SAMPLE 진행 사항(16일)</t>
    <phoneticPr fontId="2" type="noConversion"/>
  </si>
  <si>
    <t>NP413-136-111#GP(2C)</t>
    <phoneticPr fontId="2" type="noConversion"/>
  </si>
  <si>
    <t>AYE</t>
    <phoneticPr fontId="2" type="noConversion"/>
  </si>
  <si>
    <t>SGP2030R N/P</t>
    <phoneticPr fontId="2" type="noConversion"/>
  </si>
  <si>
    <t>수정</t>
    <phoneticPr fontId="2" type="noConversion"/>
  </si>
  <si>
    <t>1</t>
    <phoneticPr fontId="2" type="noConversion"/>
  </si>
  <si>
    <t>원재료NG</t>
    <phoneticPr fontId="2" type="noConversion"/>
  </si>
  <si>
    <t>SF2255 I/V</t>
    <phoneticPr fontId="2" type="noConversion"/>
  </si>
  <si>
    <t>12</t>
    <phoneticPr fontId="2" type="noConversion"/>
  </si>
  <si>
    <t>상측박힘수리</t>
    <phoneticPr fontId="2" type="noConversion"/>
  </si>
  <si>
    <t>AMB09J4C-KAB-R1</t>
    <phoneticPr fontId="2" type="noConversion"/>
  </si>
  <si>
    <t>MCS</t>
    <phoneticPr fontId="2" type="noConversion"/>
  </si>
  <si>
    <t>LATCH PLATE</t>
    <phoneticPr fontId="2" type="noConversion"/>
  </si>
  <si>
    <t>PX13012</t>
    <phoneticPr fontId="2" type="noConversion"/>
  </si>
  <si>
    <t>조건</t>
    <phoneticPr fontId="2" type="noConversion"/>
  </si>
  <si>
    <t>5</t>
    <phoneticPr fontId="2" type="noConversion"/>
  </si>
  <si>
    <t>AMB0366A-KAA-R1</t>
    <phoneticPr fontId="2" type="noConversion"/>
  </si>
  <si>
    <t>COVER</t>
    <phoneticPr fontId="2" type="noConversion"/>
  </si>
  <si>
    <t>JD4901</t>
    <phoneticPr fontId="2" type="noConversion"/>
  </si>
  <si>
    <t>신작</t>
    <phoneticPr fontId="2" type="noConversion"/>
  </si>
  <si>
    <t>8</t>
    <phoneticPr fontId="2" type="noConversion"/>
  </si>
  <si>
    <t>MCS</t>
    <phoneticPr fontId="2" type="noConversion"/>
  </si>
  <si>
    <t>ADAPTER</t>
    <phoneticPr fontId="2" type="noConversion"/>
  </si>
  <si>
    <t>AMB07AA3A-KAA-R1</t>
    <phoneticPr fontId="2" type="noConversion"/>
  </si>
  <si>
    <t>신작</t>
    <phoneticPr fontId="2" type="noConversion"/>
  </si>
  <si>
    <t>12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</si>
  <si>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</si>
  <si>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</si>
  <si>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2021년 06월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</si>
  <si>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12*12 TOP</t>
    <phoneticPr fontId="2" type="noConversion"/>
  </si>
  <si>
    <t>HB12X12-1.3-22T1</t>
    <phoneticPr fontId="2" type="noConversion"/>
  </si>
  <si>
    <t>AMB0150A-KAA-R1</t>
    <phoneticPr fontId="2" type="noConversion"/>
  </si>
  <si>
    <t>전일 ISSUE 사항(17일)</t>
    <phoneticPr fontId="2" type="noConversion"/>
  </si>
  <si>
    <t>발주분양산-&gt;BURR2회수리</t>
    <phoneticPr fontId="2" type="noConversion"/>
  </si>
  <si>
    <t>발주분양산-&gt;뜯김2회정지</t>
    <phoneticPr fontId="2" type="noConversion"/>
  </si>
  <si>
    <t>12X12 TOP</t>
    <phoneticPr fontId="2" type="noConversion"/>
  </si>
  <si>
    <t>8</t>
    <phoneticPr fontId="2" type="noConversion"/>
  </si>
  <si>
    <t>당일 진행 사항(18일)</t>
    <phoneticPr fontId="2" type="noConversion"/>
  </si>
  <si>
    <t>288C84A-B101C</t>
    <phoneticPr fontId="2" type="noConversion"/>
  </si>
  <si>
    <t>OKINS</t>
    <phoneticPr fontId="2" type="noConversion"/>
  </si>
  <si>
    <t>9</t>
    <phoneticPr fontId="2" type="noConversion"/>
  </si>
  <si>
    <t>SAMPLE 진행 사항(17일)</t>
    <phoneticPr fontId="2" type="noConversion"/>
  </si>
  <si>
    <t>LH-01A1-1</t>
    <phoneticPr fontId="2" type="noConversion"/>
  </si>
  <si>
    <t>HICON</t>
    <phoneticPr fontId="2" type="noConversion"/>
  </si>
  <si>
    <t>LATCH</t>
    <phoneticPr fontId="2" type="noConversion"/>
  </si>
  <si>
    <t>LH-01D2-1</t>
    <phoneticPr fontId="2" type="noConversion"/>
  </si>
  <si>
    <t>LH-01D2</t>
    <phoneticPr fontId="2" type="noConversion"/>
  </si>
  <si>
    <t>SGF2050</t>
    <phoneticPr fontId="2" type="noConversion"/>
  </si>
  <si>
    <t>수정</t>
    <phoneticPr fontId="2" type="noConversion"/>
  </si>
  <si>
    <t>5</t>
    <phoneticPr fontId="2" type="noConversion"/>
  </si>
  <si>
    <t>수정안됨</t>
    <phoneticPr fontId="2" type="noConversion"/>
  </si>
  <si>
    <t>AMB0198A-KAA-R1</t>
    <phoneticPr fontId="2" type="noConversion"/>
  </si>
  <si>
    <t>BASE</t>
    <phoneticPr fontId="2" type="noConversion"/>
  </si>
  <si>
    <t>MCS</t>
    <phoneticPr fontId="2" type="noConversion"/>
  </si>
  <si>
    <t>SF2255</t>
    <phoneticPr fontId="2" type="noConversion"/>
  </si>
  <si>
    <t>신작</t>
    <phoneticPr fontId="2" type="noConversion"/>
  </si>
  <si>
    <t>11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</si>
  <si>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</si>
  <si>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</si>
  <si>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2021년 06월 18일(주간)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</si>
  <si>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전일 ISSUE 사항(18일)</t>
    <phoneticPr fontId="2" type="noConversion"/>
  </si>
  <si>
    <t>BURR정지</t>
    <phoneticPr fontId="2" type="noConversion"/>
  </si>
  <si>
    <t>11</t>
    <phoneticPr fontId="2" type="noConversion"/>
  </si>
  <si>
    <t>COVER</t>
    <phoneticPr fontId="2" type="noConversion"/>
  </si>
  <si>
    <t>AMB0360A-KAA-R1</t>
    <phoneticPr fontId="2" type="noConversion"/>
  </si>
  <si>
    <t>AMB0188A-JAA-R2</t>
    <phoneticPr fontId="2" type="noConversion"/>
  </si>
  <si>
    <t>발주분양산-&gt;수축2회진행</t>
    <phoneticPr fontId="2" type="noConversion"/>
  </si>
  <si>
    <t>OKINS</t>
    <phoneticPr fontId="2" type="noConversion"/>
  </si>
  <si>
    <t>9</t>
    <phoneticPr fontId="2" type="noConversion"/>
  </si>
  <si>
    <t>288C84A-B101C</t>
    <phoneticPr fontId="2" type="noConversion"/>
  </si>
  <si>
    <t>당일 진행 사항(21일)</t>
    <phoneticPr fontId="2" type="noConversion"/>
  </si>
  <si>
    <t>AMB0240A-KAA-R2</t>
    <phoneticPr fontId="2" type="noConversion"/>
  </si>
  <si>
    <t>AMM0822A-KAB-R1</t>
    <phoneticPr fontId="2" type="noConversion"/>
  </si>
  <si>
    <t>SAMPLE 진행 사항(18일)</t>
    <phoneticPr fontId="2" type="noConversion"/>
  </si>
  <si>
    <t>LH-01A1</t>
    <phoneticPr fontId="2" type="noConversion"/>
  </si>
  <si>
    <t>MCS</t>
    <phoneticPr fontId="2" type="noConversion"/>
  </si>
  <si>
    <t>ACTUATOR</t>
    <phoneticPr fontId="2" type="noConversion"/>
  </si>
  <si>
    <t>AMBAMB1942A-KAA-R1</t>
    <phoneticPr fontId="2" type="noConversion"/>
  </si>
  <si>
    <t>JD4901,SGF2030</t>
    <phoneticPr fontId="2" type="noConversion"/>
  </si>
  <si>
    <t>신작</t>
    <phoneticPr fontId="2" type="noConversion"/>
  </si>
  <si>
    <t>SGF2030진행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</si>
  <si>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</si>
  <si>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</si>
  <si>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2021년 06월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</si>
  <si>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전일 ISSUE 사항(21일)</t>
    <phoneticPr fontId="2" type="noConversion"/>
  </si>
  <si>
    <t>발주분양산-&gt;수축정지</t>
    <phoneticPr fontId="2" type="noConversion"/>
  </si>
  <si>
    <t>당일 진행 사항(22일)</t>
    <phoneticPr fontId="2" type="noConversion"/>
  </si>
  <si>
    <t>4X8 BOTTOM</t>
    <phoneticPr fontId="2" type="noConversion"/>
  </si>
  <si>
    <t>AMB1930A-KAA-R3</t>
    <phoneticPr fontId="2" type="noConversion"/>
  </si>
  <si>
    <t>SAMPLE 진행 사항(21일)</t>
    <phoneticPr fontId="2" type="noConversion"/>
  </si>
  <si>
    <t>KR6197-GU153PNC</t>
    <phoneticPr fontId="2" type="noConversion"/>
  </si>
  <si>
    <t>AMB0252A-KAA-R1</t>
    <phoneticPr fontId="2" type="noConversion"/>
  </si>
  <si>
    <t>BR120-127A1</t>
    <phoneticPr fontId="2" type="noConversion"/>
  </si>
  <si>
    <t>BP60-127A1</t>
    <phoneticPr fontId="2" type="noConversion"/>
  </si>
  <si>
    <t>120P</t>
    <phoneticPr fontId="2" type="noConversion"/>
  </si>
  <si>
    <t>60P</t>
    <phoneticPr fontId="2" type="noConversion"/>
  </si>
  <si>
    <t>SF2250EPR N/P</t>
    <phoneticPr fontId="2" type="noConversion"/>
  </si>
  <si>
    <t>옵션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</si>
  <si>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</si>
  <si>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</si>
  <si>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2021년 06월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</si>
  <si>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4*8 BOTTOM</t>
    <phoneticPr fontId="2" type="noConversion"/>
  </si>
  <si>
    <t>ODT</t>
    <phoneticPr fontId="2" type="noConversion"/>
  </si>
  <si>
    <t>INNER</t>
    <phoneticPr fontId="2" type="noConversion"/>
  </si>
  <si>
    <t>SW-003353</t>
    <phoneticPr fontId="2" type="noConversion"/>
  </si>
  <si>
    <t>PC투명</t>
    <phoneticPr fontId="2" type="noConversion"/>
  </si>
  <si>
    <t>전일 ISSUE 사항(22일)</t>
    <phoneticPr fontId="2" type="noConversion"/>
  </si>
  <si>
    <t>AMB07U1A-KAA-R5</t>
    <phoneticPr fontId="2" type="noConversion"/>
  </si>
  <si>
    <t>발주분양산-&gt;노즐이상정지</t>
    <phoneticPr fontId="2" type="noConversion"/>
  </si>
  <si>
    <t>당일 진행 사항(23일)</t>
    <phoneticPr fontId="2" type="noConversion"/>
  </si>
  <si>
    <t>6X12 TOP</t>
    <phoneticPr fontId="2" type="noConversion"/>
  </si>
  <si>
    <t>LATCH C-1</t>
    <phoneticPr fontId="2" type="noConversion"/>
  </si>
  <si>
    <t>SAMPLE 진행 사항(22일)</t>
    <phoneticPr fontId="2" type="noConversion"/>
  </si>
  <si>
    <t>HDB08PL-96S2(B)</t>
    <phoneticPr fontId="2" type="noConversion"/>
  </si>
  <si>
    <t>SGF2030 N/P</t>
    <phoneticPr fontId="2" type="noConversion"/>
  </si>
  <si>
    <t>AMB0190A-KAA-R1</t>
    <phoneticPr fontId="2" type="noConversion"/>
  </si>
  <si>
    <t>RG430</t>
    <phoneticPr fontId="2" type="noConversion"/>
  </si>
  <si>
    <t>원재료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</si>
  <si>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</si>
  <si>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</si>
  <si>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2021년 06월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</si>
  <si>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6*12 TOP</t>
    <phoneticPr fontId="2" type="noConversion"/>
  </si>
  <si>
    <t>전일 ISSUE 사항(23일)</t>
    <phoneticPr fontId="2" type="noConversion"/>
  </si>
  <si>
    <t>수리후양산-&gt;BURR정지</t>
    <phoneticPr fontId="2" type="noConversion"/>
  </si>
  <si>
    <t>당일 진행 사항(24일)</t>
    <phoneticPr fontId="2" type="noConversion"/>
  </si>
  <si>
    <t>AMB1901B-JAA-R1</t>
    <phoneticPr fontId="2" type="noConversion"/>
  </si>
  <si>
    <t>K-JR01928-G01AWA</t>
    <phoneticPr fontId="2" type="noConversion"/>
  </si>
  <si>
    <t>AMB0114G-JAA-R1</t>
    <phoneticPr fontId="2" type="noConversion"/>
  </si>
  <si>
    <t>K-JR01928-B01AZE</t>
    <phoneticPr fontId="2" type="noConversion"/>
  </si>
  <si>
    <t>SAMPLE 진행 사항(23일)</t>
    <phoneticPr fontId="2" type="noConversion"/>
  </si>
  <si>
    <t>K-JR01939-F195ATA</t>
    <phoneticPr fontId="2" type="noConversion"/>
  </si>
  <si>
    <t>AMB0129A-KAA-R6</t>
    <phoneticPr fontId="2" type="noConversion"/>
  </si>
  <si>
    <t>K-JR01939-D195AUA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</si>
  <si>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</si>
  <si>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</si>
  <si>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2021년 06월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</si>
  <si>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PUSH PLATE</t>
    <phoneticPr fontId="2" type="noConversion"/>
  </si>
  <si>
    <t>HR03S-06B1</t>
    <phoneticPr fontId="2" type="noConversion"/>
  </si>
  <si>
    <t>SGP2020R</t>
    <phoneticPr fontId="2" type="noConversion"/>
  </si>
  <si>
    <t>전일 ISSUE 사항(24일)</t>
    <phoneticPr fontId="2" type="noConversion"/>
  </si>
  <si>
    <t>BURR수리</t>
    <phoneticPr fontId="2" type="noConversion"/>
  </si>
  <si>
    <t>발주분양산-&gt;오조립수리</t>
    <phoneticPr fontId="2" type="noConversion"/>
  </si>
  <si>
    <t>발주분양산-&gt;긁힘수리</t>
    <phoneticPr fontId="2" type="noConversion"/>
  </si>
  <si>
    <t>AMB0114G-KAA-R1</t>
    <phoneticPr fontId="2" type="noConversion"/>
  </si>
  <si>
    <t>발주분양산-&gt;오조립정지</t>
    <phoneticPr fontId="2" type="noConversion"/>
  </si>
  <si>
    <t>발주분양산-&gt;코아파손-&gt;뜯김정지</t>
    <phoneticPr fontId="2" type="noConversion"/>
  </si>
  <si>
    <t>PLATE</t>
    <phoneticPr fontId="2" type="noConversion"/>
  </si>
  <si>
    <t>HR03A-06B2</t>
    <phoneticPr fontId="2" type="noConversion"/>
  </si>
  <si>
    <t>HSA08-M03B1</t>
    <phoneticPr fontId="2" type="noConversion"/>
  </si>
  <si>
    <t>당일 진행 사항(25일)</t>
    <phoneticPr fontId="2" type="noConversion"/>
  </si>
  <si>
    <t>SAMPLE 진행 사항(24일)</t>
    <phoneticPr fontId="2" type="noConversion"/>
  </si>
  <si>
    <t>K-JR01939-B195AUA</t>
    <phoneticPr fontId="2" type="noConversion"/>
  </si>
  <si>
    <t>New Pattern Cover-2</t>
    <phoneticPr fontId="2" type="noConversion"/>
  </si>
  <si>
    <t>AMB1942A-KAA-R1</t>
    <phoneticPr fontId="2" type="noConversion"/>
  </si>
  <si>
    <t>뜯김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</si>
  <si>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</si>
  <si>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</si>
  <si>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2021년 06월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</si>
  <si>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전일 ISSUE 사항(25일)</t>
    <phoneticPr fontId="2" type="noConversion"/>
  </si>
  <si>
    <t>이물수리후양산</t>
    <phoneticPr fontId="2" type="noConversion"/>
  </si>
  <si>
    <t>당일 진행 사항(26일)</t>
    <phoneticPr fontId="2" type="noConversion"/>
  </si>
  <si>
    <t>AM0148A-K-R2</t>
    <phoneticPr fontId="2" type="noConversion"/>
  </si>
  <si>
    <t>SAMPLE 진행 사항(25일)</t>
    <phoneticPr fontId="2" type="noConversion"/>
  </si>
  <si>
    <t>AMB20G2B-KAA-R3</t>
    <phoneticPr fontId="2" type="noConversion"/>
  </si>
  <si>
    <t>K-JR01939-A195ATA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</si>
  <si>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</si>
  <si>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</si>
  <si>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2021년 06월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</si>
  <si>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전일 ISSUE 사항(26일)</t>
    <phoneticPr fontId="2" type="noConversion"/>
  </si>
  <si>
    <t>당일 진행 사항(28일)</t>
    <phoneticPr fontId="2" type="noConversion"/>
  </si>
  <si>
    <t>HR03B-406A1</t>
    <phoneticPr fontId="2" type="noConversion"/>
  </si>
  <si>
    <t>SAMPLE 진행 사항(26일)</t>
    <phoneticPr fontId="2" type="noConversion"/>
  </si>
  <si>
    <t>미성형,뜯김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</si>
  <si>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</si>
  <si>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</si>
  <si>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2021년 06월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</si>
  <si>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AMB0359A-KAA-R1</t>
    <phoneticPr fontId="2" type="noConversion"/>
  </si>
  <si>
    <t>AMM0890A-KAB-R1</t>
    <phoneticPr fontId="2" type="noConversion"/>
  </si>
  <si>
    <t>전일 ISSUE 사항(28일)</t>
    <phoneticPr fontId="2" type="noConversion"/>
  </si>
  <si>
    <t>BURR수리후양산</t>
    <phoneticPr fontId="2" type="noConversion"/>
  </si>
  <si>
    <t>발주분양산-&gt;코아파손-&gt;뜯김수리</t>
    <phoneticPr fontId="2" type="noConversion"/>
  </si>
  <si>
    <t>당일 진행 사항(29일)</t>
    <phoneticPr fontId="2" type="noConversion"/>
  </si>
  <si>
    <t>AMB07P2A-KAA-R1</t>
    <phoneticPr fontId="2" type="noConversion"/>
  </si>
  <si>
    <t>HSB05-M007B3</t>
    <phoneticPr fontId="2" type="noConversion"/>
  </si>
  <si>
    <t>IC GUIDE</t>
    <phoneticPr fontId="2" type="noConversion"/>
  </si>
  <si>
    <t>SAMPLE 진행 사항(28일)</t>
    <phoneticPr fontId="2" type="noConversion"/>
  </si>
  <si>
    <t>K-JR01939-G01ABA</t>
    <phoneticPr fontId="2" type="noConversion"/>
  </si>
  <si>
    <t>AMB09J4B-KAA-R4</t>
    <phoneticPr fontId="2" type="noConversion"/>
  </si>
  <si>
    <t>K-JR01939-C01ATA</t>
    <phoneticPr fontId="2" type="noConversion"/>
  </si>
  <si>
    <t>K-JR01939-E01EA</t>
    <phoneticPr fontId="2" type="noConversion"/>
  </si>
  <si>
    <t>1C</t>
    <phoneticPr fontId="2" type="noConversion"/>
  </si>
  <si>
    <t>JD4901 N/P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</si>
  <si>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</si>
  <si>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</si>
  <si>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2021년 06월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</si>
  <si>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CARD HOUSING</t>
    <phoneticPr fontId="2" type="noConversion"/>
  </si>
  <si>
    <t>BC05-29H1</t>
    <phoneticPr fontId="2" type="noConversion"/>
  </si>
  <si>
    <t>전일 ISSUE 사항(29일)</t>
    <phoneticPr fontId="2" type="noConversion"/>
  </si>
  <si>
    <t>BURR,치수수리후양산</t>
    <phoneticPr fontId="2" type="noConversion"/>
  </si>
  <si>
    <t>수리후양산-&gt;설비이동 15호기</t>
    <phoneticPr fontId="2" type="noConversion"/>
  </si>
  <si>
    <t>HOUSING</t>
    <phoneticPr fontId="2" type="noConversion"/>
  </si>
  <si>
    <t>당일 진행 사항(30일)</t>
    <phoneticPr fontId="2" type="noConversion"/>
  </si>
  <si>
    <t>SAMPLE 진행 사항(29일)</t>
    <phoneticPr fontId="2" type="noConversion"/>
  </si>
  <si>
    <t>AMB1941A-KAA-R1</t>
    <phoneticPr fontId="2" type="noConversion"/>
  </si>
  <si>
    <t>AMB0197A-KAA-R1</t>
    <phoneticPr fontId="2" type="noConversion"/>
  </si>
  <si>
    <t>밀핀수리2회진행</t>
    <phoneticPr fontId="2" type="noConversion"/>
  </si>
  <si>
    <t>SGF2030,SF2255</t>
    <phoneticPr fontId="2" type="noConversion"/>
  </si>
  <si>
    <t>원재료2종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</si>
  <si>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</si>
  <si>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</si>
  <si>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2021년 06월 30일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</si>
  <si>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HSA08-M07A1</t>
    <phoneticPr fontId="2" type="noConversion"/>
  </si>
  <si>
    <t>전일 ISSUE 사항(30일)</t>
    <phoneticPr fontId="2" type="noConversion"/>
  </si>
  <si>
    <t>게이트막힘-&gt;뜯김수리</t>
    <phoneticPr fontId="2" type="noConversion"/>
  </si>
  <si>
    <t>발주분양산-&gt;이물수리</t>
    <phoneticPr fontId="2" type="noConversion"/>
  </si>
  <si>
    <t>당일 진행 사항(01일)</t>
    <phoneticPr fontId="2" type="noConversion"/>
  </si>
  <si>
    <t>AMM0890A-KAC-R1</t>
    <phoneticPr fontId="2" type="noConversion"/>
  </si>
  <si>
    <t>KR6197AGF254PNC</t>
    <phoneticPr fontId="2" type="noConversion"/>
  </si>
  <si>
    <t>SAMPLE 진행 사항(30일)</t>
    <phoneticPr fontId="2" type="noConversion"/>
  </si>
  <si>
    <t>K-JR01933-C03AWA</t>
    <phoneticPr fontId="2" type="noConversion"/>
  </si>
  <si>
    <t>AMB0251A-KAA-R1</t>
    <phoneticPr fontId="2" type="noConversion"/>
  </si>
  <si>
    <t>금형 수리 내역(30일)</t>
    <phoneticPr fontId="2" type="noConversion"/>
  </si>
  <si>
    <t>설비 점검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</si>
</sst>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62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9" fontId="7" fillId="29" borderId="3" xfId="8" applyFont="1" applyFill="1" applyBorder="1" applyAlignment="1">
      <alignment horizontal="center" vertical="center"/>
    </xf>
    <xf numFmtId="41" fontId="8" fillId="0" borderId="7" xfId="4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42" fontId="15" fillId="0" borderId="22" xfId="7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29" xfId="2" applyFont="1" applyFill="1" applyBorder="1" applyAlignment="1">
      <alignment horizontal="center" vertical="center"/>
    </xf>
    <xf numFmtId="0" fontId="19" fillId="2" borderId="16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1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1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'01'!$D$6:$D$27</c:f>
              <c:strCache>
                <c:ptCount val="21"/>
                <c:pt idx="0">
                  <c:v>ACTUATOR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M2 CONN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'01'!$L$6:$L$27</c:f>
              <c:numCache>
                <c:formatCode>_(* #,##0_);_(* \(#,##0\);_(* "-"_);_(@_)</c:formatCode>
                <c:ptCount val="22"/>
                <c:pt idx="0">
                  <c:v>4504</c:v>
                </c:pt>
                <c:pt idx="1">
                  <c:v>11032</c:v>
                </c:pt>
                <c:pt idx="2">
                  <c:v>12302</c:v>
                </c:pt>
                <c:pt idx="3">
                  <c:v>11638</c:v>
                </c:pt>
                <c:pt idx="4">
                  <c:v>4015</c:v>
                </c:pt>
                <c:pt idx="7">
                  <c:v>5211</c:v>
                </c:pt>
                <c:pt idx="11">
                  <c:v>41130</c:v>
                </c:pt>
                <c:pt idx="13">
                  <c:v>4925</c:v>
                </c:pt>
                <c:pt idx="15">
                  <c:v>61696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4A-43F8-904F-CD7E7C01FA3F}"/>
            </c:ext>
          </c:extLst>
        </c:ser>
        <c:ser>
          <c:idx val="1"/>
          <c:order val="1"/>
          <c:tx>
            <c:v>계획</c:v>
          </c:tx>
          <c:cat>
            <c:strRef>
              <c:f>'01'!$D$6:$D$27</c:f>
              <c:strCache>
                <c:ptCount val="21"/>
                <c:pt idx="0">
                  <c:v>ACTUATOR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M2 CONN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'01'!$J$6:$J$27</c:f>
              <c:numCache>
                <c:formatCode>_(* #,##0_);_(* \(#,##0\);_(* "-"_);_(@_)</c:formatCode>
                <c:ptCount val="22"/>
                <c:pt idx="0">
                  <c:v>4504</c:v>
                </c:pt>
                <c:pt idx="1">
                  <c:v>11032</c:v>
                </c:pt>
                <c:pt idx="2">
                  <c:v>12302</c:v>
                </c:pt>
                <c:pt idx="3">
                  <c:v>11638</c:v>
                </c:pt>
                <c:pt idx="4">
                  <c:v>4015</c:v>
                </c:pt>
                <c:pt idx="5">
                  <c:v>4172</c:v>
                </c:pt>
                <c:pt idx="6">
                  <c:v>1829</c:v>
                </c:pt>
                <c:pt idx="7">
                  <c:v>5211</c:v>
                </c:pt>
                <c:pt idx="8">
                  <c:v>750</c:v>
                </c:pt>
                <c:pt idx="9">
                  <c:v>26300</c:v>
                </c:pt>
                <c:pt idx="10">
                  <c:v>1142</c:v>
                </c:pt>
                <c:pt idx="11">
                  <c:v>41130</c:v>
                </c:pt>
                <c:pt idx="12">
                  <c:v>1509</c:v>
                </c:pt>
                <c:pt idx="13">
                  <c:v>4925</c:v>
                </c:pt>
                <c:pt idx="14">
                  <c:v>11136</c:v>
                </c:pt>
                <c:pt idx="15">
                  <c:v>61696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4A-43F8-904F-CD7E7C01F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'01'!$AD$6:$AD$27</c:f>
              <c:strCache>
                <c:ptCount val="22"/>
                <c:pt idx="0">
                  <c:v>96%</c:v>
                </c:pt>
                <c:pt idx="1">
                  <c:v>92%</c:v>
                </c:pt>
                <c:pt idx="2">
                  <c:v>100%</c:v>
                </c:pt>
                <c:pt idx="3">
                  <c:v>100%</c:v>
                </c:pt>
                <c:pt idx="4">
                  <c:v>83%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96%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'01'!$D$6:$D$27</c:f>
              <c:strCache>
                <c:ptCount val="21"/>
                <c:pt idx="0">
                  <c:v>ACTUATOR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M2 CONN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'01'!$AD$6:$AD$27</c:f>
              <c:numCache>
                <c:formatCode>0%</c:formatCode>
                <c:ptCount val="22"/>
                <c:pt idx="0">
                  <c:v>0.95833333333333337</c:v>
                </c:pt>
                <c:pt idx="1">
                  <c:v>0.91666666666666663</c:v>
                </c:pt>
                <c:pt idx="2">
                  <c:v>1</c:v>
                </c:pt>
                <c:pt idx="3">
                  <c:v>1</c:v>
                </c:pt>
                <c:pt idx="4">
                  <c:v>0.83333333333333337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0.95833333333333337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3-4E93-8D40-11ABB4ADE91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63-4E93-8D40-11ABB4ADE9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'01'!$D$6:$D$27</c:f>
              <c:strCache>
                <c:ptCount val="21"/>
                <c:pt idx="0">
                  <c:v>ACTUATOR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M2 CONN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'01'!$AE$6:$AE$27</c:f>
              <c:numCache>
                <c:formatCode>0%</c:formatCode>
                <c:ptCount val="22"/>
                <c:pt idx="0">
                  <c:v>0.39393939393939392</c:v>
                </c:pt>
                <c:pt idx="1">
                  <c:v>0.39393939393939392</c:v>
                </c:pt>
                <c:pt idx="2">
                  <c:v>0.39393939393939392</c:v>
                </c:pt>
                <c:pt idx="3">
                  <c:v>0.39393939393939392</c:v>
                </c:pt>
                <c:pt idx="4">
                  <c:v>0.39393939393939392</c:v>
                </c:pt>
                <c:pt idx="5">
                  <c:v>0.39393939393939392</c:v>
                </c:pt>
                <c:pt idx="6">
                  <c:v>0.39393939393939392</c:v>
                </c:pt>
                <c:pt idx="7">
                  <c:v>0.39393939393939392</c:v>
                </c:pt>
                <c:pt idx="8">
                  <c:v>0.39393939393939392</c:v>
                </c:pt>
                <c:pt idx="9">
                  <c:v>0.39393939393939392</c:v>
                </c:pt>
                <c:pt idx="10">
                  <c:v>0.39393939393939392</c:v>
                </c:pt>
                <c:pt idx="11">
                  <c:v>0.39393939393939392</c:v>
                </c:pt>
                <c:pt idx="12">
                  <c:v>0.39393939393939392</c:v>
                </c:pt>
                <c:pt idx="13">
                  <c:v>0.39393939393939392</c:v>
                </c:pt>
                <c:pt idx="14">
                  <c:v>0.39393939393939392</c:v>
                </c:pt>
                <c:pt idx="15">
                  <c:v>0.39393939393939392</c:v>
                </c:pt>
                <c:pt idx="16">
                  <c:v>0.39393939393939392</c:v>
                </c:pt>
                <c:pt idx="17">
                  <c:v>0.39393939393939392</c:v>
                </c:pt>
                <c:pt idx="18">
                  <c:v>0.39393939393939392</c:v>
                </c:pt>
                <c:pt idx="19">
                  <c:v>0.39393939393939392</c:v>
                </c:pt>
                <c:pt idx="20">
                  <c:v>0.39393939393939392</c:v>
                </c:pt>
                <c:pt idx="21">
                  <c:v>0.39393939393939392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63-4E93-8D40-11ABB4ADE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'01'!$D$6:$D$27</c:f>
              <c:strCache>
                <c:ptCount val="21"/>
                <c:pt idx="0">
                  <c:v>ACTUATOR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M2 CONN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'01'!$L$6:$L$27</c:f>
              <c:numCache>
                <c:formatCode>_(* #,##0_);_(* \(#,##0\);_(* "-"_);_(@_)</c:formatCode>
                <c:ptCount val="22"/>
                <c:pt idx="0">
                  <c:v>4504</c:v>
                </c:pt>
                <c:pt idx="1">
                  <c:v>11032</c:v>
                </c:pt>
                <c:pt idx="2">
                  <c:v>12302</c:v>
                </c:pt>
                <c:pt idx="3">
                  <c:v>11638</c:v>
                </c:pt>
                <c:pt idx="4">
                  <c:v>4015</c:v>
                </c:pt>
                <c:pt idx="7">
                  <c:v>5211</c:v>
                </c:pt>
                <c:pt idx="11">
                  <c:v>41130</c:v>
                </c:pt>
                <c:pt idx="13">
                  <c:v>4925</c:v>
                </c:pt>
                <c:pt idx="15">
                  <c:v>61696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D6-4BD2-BA21-D110B21A2316}"/>
            </c:ext>
          </c:extLst>
        </c:ser>
        <c:ser>
          <c:idx val="1"/>
          <c:order val="1"/>
          <c:tx>
            <c:v>계획</c:v>
          </c:tx>
          <c:cat>
            <c:strRef>
              <c:f>'01'!$D$6:$D$27</c:f>
              <c:strCache>
                <c:ptCount val="21"/>
                <c:pt idx="0">
                  <c:v>ACTUATOR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M2 CONN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'01'!$J$6:$J$27</c:f>
              <c:numCache>
                <c:formatCode>_(* #,##0_);_(* \(#,##0\);_(* "-"_);_(@_)</c:formatCode>
                <c:ptCount val="22"/>
                <c:pt idx="0">
                  <c:v>4504</c:v>
                </c:pt>
                <c:pt idx="1">
                  <c:v>11032</c:v>
                </c:pt>
                <c:pt idx="2">
                  <c:v>12302</c:v>
                </c:pt>
                <c:pt idx="3">
                  <c:v>11638</c:v>
                </c:pt>
                <c:pt idx="4">
                  <c:v>4015</c:v>
                </c:pt>
                <c:pt idx="5">
                  <c:v>4172</c:v>
                </c:pt>
                <c:pt idx="6">
                  <c:v>1829</c:v>
                </c:pt>
                <c:pt idx="7">
                  <c:v>5211</c:v>
                </c:pt>
                <c:pt idx="8">
                  <c:v>750</c:v>
                </c:pt>
                <c:pt idx="9">
                  <c:v>26300</c:v>
                </c:pt>
                <c:pt idx="10">
                  <c:v>1142</c:v>
                </c:pt>
                <c:pt idx="11">
                  <c:v>41130</c:v>
                </c:pt>
                <c:pt idx="12">
                  <c:v>1509</c:v>
                </c:pt>
                <c:pt idx="13">
                  <c:v>4925</c:v>
                </c:pt>
                <c:pt idx="14">
                  <c:v>11136</c:v>
                </c:pt>
                <c:pt idx="15">
                  <c:v>61696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D6-4BD2-BA21-D110B21A2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'01'!$AD$6:$AD$27</c:f>
              <c:strCache>
                <c:ptCount val="22"/>
                <c:pt idx="0">
                  <c:v>96%</c:v>
                </c:pt>
                <c:pt idx="1">
                  <c:v>92%</c:v>
                </c:pt>
                <c:pt idx="2">
                  <c:v>100%</c:v>
                </c:pt>
                <c:pt idx="3">
                  <c:v>100%</c:v>
                </c:pt>
                <c:pt idx="4">
                  <c:v>83%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96%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'01'!$D$6:$D$27</c:f>
              <c:strCache>
                <c:ptCount val="21"/>
                <c:pt idx="0">
                  <c:v>ACTUATOR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M2 CONN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'01'!$AD$6:$AD$27</c:f>
              <c:numCache>
                <c:formatCode>0%</c:formatCode>
                <c:ptCount val="22"/>
                <c:pt idx="0">
                  <c:v>0.95833333333333337</c:v>
                </c:pt>
                <c:pt idx="1">
                  <c:v>0.91666666666666663</c:v>
                </c:pt>
                <c:pt idx="2">
                  <c:v>1</c:v>
                </c:pt>
                <c:pt idx="3">
                  <c:v>1</c:v>
                </c:pt>
                <c:pt idx="4">
                  <c:v>0.83333333333333337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0.95833333333333337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B-410A-B6EA-CEBBFBA94EC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FB-410A-B6EA-CEBBFBA94EC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'01'!$D$6:$D$27</c:f>
              <c:strCache>
                <c:ptCount val="21"/>
                <c:pt idx="0">
                  <c:v>ACTUATOR</c:v>
                </c:pt>
                <c:pt idx="1">
                  <c:v>SLIDER</c:v>
                </c:pt>
                <c:pt idx="2">
                  <c:v>BASE</c:v>
                </c:pt>
                <c:pt idx="3">
                  <c:v>STOPPPER</c:v>
                </c:pt>
                <c:pt idx="4">
                  <c:v>M2 CONN</c:v>
                </c:pt>
                <c:pt idx="5">
                  <c:v>LEAD GUIDE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'01'!$AE$6:$AE$27</c:f>
              <c:numCache>
                <c:formatCode>0%</c:formatCode>
                <c:ptCount val="22"/>
                <c:pt idx="0">
                  <c:v>0.39393939393939392</c:v>
                </c:pt>
                <c:pt idx="1">
                  <c:v>0.39393939393939392</c:v>
                </c:pt>
                <c:pt idx="2">
                  <c:v>0.39393939393939392</c:v>
                </c:pt>
                <c:pt idx="3">
                  <c:v>0.39393939393939392</c:v>
                </c:pt>
                <c:pt idx="4">
                  <c:v>0.39393939393939392</c:v>
                </c:pt>
                <c:pt idx="5">
                  <c:v>0.39393939393939392</c:v>
                </c:pt>
                <c:pt idx="6">
                  <c:v>0.39393939393939392</c:v>
                </c:pt>
                <c:pt idx="7">
                  <c:v>0.39393939393939392</c:v>
                </c:pt>
                <c:pt idx="8">
                  <c:v>0.39393939393939392</c:v>
                </c:pt>
                <c:pt idx="9">
                  <c:v>0.39393939393939392</c:v>
                </c:pt>
                <c:pt idx="10">
                  <c:v>0.39393939393939392</c:v>
                </c:pt>
                <c:pt idx="11">
                  <c:v>0.39393939393939392</c:v>
                </c:pt>
                <c:pt idx="12">
                  <c:v>0.39393939393939392</c:v>
                </c:pt>
                <c:pt idx="13">
                  <c:v>0.39393939393939392</c:v>
                </c:pt>
                <c:pt idx="14">
                  <c:v>0.39393939393939392</c:v>
                </c:pt>
                <c:pt idx="15">
                  <c:v>0.39393939393939392</c:v>
                </c:pt>
                <c:pt idx="16">
                  <c:v>0.39393939393939392</c:v>
                </c:pt>
                <c:pt idx="17">
                  <c:v>0.39393939393939392</c:v>
                </c:pt>
                <c:pt idx="18">
                  <c:v>0.39393939393939392</c:v>
                </c:pt>
                <c:pt idx="19">
                  <c:v>0.39393939393939392</c:v>
                </c:pt>
                <c:pt idx="20">
                  <c:v>0.39393939393939392</c:v>
                </c:pt>
                <c:pt idx="21">
                  <c:v>0.39393939393939392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FB-410A-B6EA-CEBBFBA94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19C-4E51-A5A7-9D5D9B216C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9C-4E51-A5A7-9D5D9B216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19C-4E51-A5A7-9D5D9B216C2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9C-4E51-A5A7-9D5D9B216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'02'!$L$6:$L$27</c:f>
              <c:numCache>
                <c:formatCode>_(* #,##0_);_(* \(#,##0\);_(* "-"_);_(@_)</c:formatCode>
                <c:ptCount val="22"/>
                <c:pt idx="0">
                  <c:v>4354</c:v>
                </c:pt>
                <c:pt idx="1">
                  <c:v>9113</c:v>
                </c:pt>
                <c:pt idx="2">
                  <c:v>1708</c:v>
                </c:pt>
                <c:pt idx="3">
                  <c:v>11914</c:v>
                </c:pt>
                <c:pt idx="4">
                  <c:v>11830</c:v>
                </c:pt>
                <c:pt idx="5">
                  <c:v>7296</c:v>
                </c:pt>
                <c:pt idx="7">
                  <c:v>4978</c:v>
                </c:pt>
                <c:pt idx="11">
                  <c:v>40940</c:v>
                </c:pt>
                <c:pt idx="13">
                  <c:v>5252</c:v>
                </c:pt>
                <c:pt idx="15">
                  <c:v>61724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5-4279-BFB9-83938C979A12}"/>
            </c:ext>
          </c:extLst>
        </c:ser>
        <c:ser>
          <c:idx val="1"/>
          <c:order val="1"/>
          <c:tx>
            <c:v>계획</c:v>
          </c:tx>
          <c:cat>
            <c:strRef>
              <c:f>'02'!$D$6:$D$27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'02'!$J$6:$J$27</c:f>
              <c:numCache>
                <c:formatCode>_(* #,##0_);_(* \(#,##0\);_(* "-"_);_(@_)</c:formatCode>
                <c:ptCount val="22"/>
                <c:pt idx="0">
                  <c:v>4354</c:v>
                </c:pt>
                <c:pt idx="1">
                  <c:v>9113</c:v>
                </c:pt>
                <c:pt idx="2">
                  <c:v>1708</c:v>
                </c:pt>
                <c:pt idx="3">
                  <c:v>11914</c:v>
                </c:pt>
                <c:pt idx="4">
                  <c:v>11830</c:v>
                </c:pt>
                <c:pt idx="5">
                  <c:v>7296</c:v>
                </c:pt>
                <c:pt idx="6">
                  <c:v>1829</c:v>
                </c:pt>
                <c:pt idx="7">
                  <c:v>4978</c:v>
                </c:pt>
                <c:pt idx="8">
                  <c:v>750</c:v>
                </c:pt>
                <c:pt idx="9">
                  <c:v>26300</c:v>
                </c:pt>
                <c:pt idx="10">
                  <c:v>1142</c:v>
                </c:pt>
                <c:pt idx="11">
                  <c:v>40940</c:v>
                </c:pt>
                <c:pt idx="12">
                  <c:v>1509</c:v>
                </c:pt>
                <c:pt idx="13">
                  <c:v>5252</c:v>
                </c:pt>
                <c:pt idx="14">
                  <c:v>11136</c:v>
                </c:pt>
                <c:pt idx="15">
                  <c:v>61724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25-4279-BFB9-83938C979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'02'!$AD$6:$AD$27</c:f>
              <c:strCache>
                <c:ptCount val="22"/>
                <c:pt idx="0">
                  <c:v>88%</c:v>
                </c:pt>
                <c:pt idx="1">
                  <c:v>92%</c:v>
                </c:pt>
                <c:pt idx="2">
                  <c:v>17%</c:v>
                </c:pt>
                <c:pt idx="3">
                  <c:v>96%</c:v>
                </c:pt>
                <c:pt idx="4">
                  <c:v>96%</c:v>
                </c:pt>
                <c:pt idx="5">
                  <c:v>79%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'02'!$AD$6:$AD$27</c:f>
              <c:numCache>
                <c:formatCode>0%</c:formatCode>
                <c:ptCount val="22"/>
                <c:pt idx="0">
                  <c:v>0.875</c:v>
                </c:pt>
                <c:pt idx="1">
                  <c:v>0.91666666666666663</c:v>
                </c:pt>
                <c:pt idx="2">
                  <c:v>0.16666666666666666</c:v>
                </c:pt>
                <c:pt idx="3">
                  <c:v>0.95833333333333337</c:v>
                </c:pt>
                <c:pt idx="4">
                  <c:v>0.95833333333333337</c:v>
                </c:pt>
                <c:pt idx="5">
                  <c:v>0.79166666666666663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E-40E9-94F8-C970C470FB0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6E-40E9-94F8-C970C470FB0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'02'!$AE$6:$AE$27</c:f>
              <c:numCache>
                <c:formatCode>0%</c:formatCode>
                <c:ptCount val="22"/>
                <c:pt idx="0">
                  <c:v>0.39393939393939398</c:v>
                </c:pt>
                <c:pt idx="1">
                  <c:v>0.39393939393939398</c:v>
                </c:pt>
                <c:pt idx="2">
                  <c:v>0.39393939393939398</c:v>
                </c:pt>
                <c:pt idx="3">
                  <c:v>0.39393939393939398</c:v>
                </c:pt>
                <c:pt idx="4">
                  <c:v>0.39393939393939398</c:v>
                </c:pt>
                <c:pt idx="5">
                  <c:v>0.39393939393939398</c:v>
                </c:pt>
                <c:pt idx="6">
                  <c:v>0.39393939393939398</c:v>
                </c:pt>
                <c:pt idx="7">
                  <c:v>0.39393939393939398</c:v>
                </c:pt>
                <c:pt idx="8">
                  <c:v>0.39393939393939398</c:v>
                </c:pt>
                <c:pt idx="9">
                  <c:v>0.39393939393939398</c:v>
                </c:pt>
                <c:pt idx="10">
                  <c:v>0.39393939393939398</c:v>
                </c:pt>
                <c:pt idx="11">
                  <c:v>0.39393939393939398</c:v>
                </c:pt>
                <c:pt idx="12">
                  <c:v>0.39393939393939398</c:v>
                </c:pt>
                <c:pt idx="13">
                  <c:v>0.39393939393939398</c:v>
                </c:pt>
                <c:pt idx="14">
                  <c:v>0.39393939393939398</c:v>
                </c:pt>
                <c:pt idx="15">
                  <c:v>0.39393939393939398</c:v>
                </c:pt>
                <c:pt idx="16">
                  <c:v>0.39393939393939398</c:v>
                </c:pt>
                <c:pt idx="17">
                  <c:v>0.39393939393939398</c:v>
                </c:pt>
                <c:pt idx="18">
                  <c:v>0.39393939393939398</c:v>
                </c:pt>
                <c:pt idx="19">
                  <c:v>0.39393939393939398</c:v>
                </c:pt>
                <c:pt idx="20">
                  <c:v>0.39393939393939398</c:v>
                </c:pt>
                <c:pt idx="21">
                  <c:v>0.39393939393939398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E-40E9-94F8-C970C470F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'02'!$L$6:$L$27</c:f>
              <c:numCache>
                <c:formatCode>_(* #,##0_);_(* \(#,##0\);_(* "-"_);_(@_)</c:formatCode>
                <c:ptCount val="22"/>
                <c:pt idx="0">
                  <c:v>4354</c:v>
                </c:pt>
                <c:pt idx="1">
                  <c:v>9113</c:v>
                </c:pt>
                <c:pt idx="2">
                  <c:v>1708</c:v>
                </c:pt>
                <c:pt idx="3">
                  <c:v>11914</c:v>
                </c:pt>
                <c:pt idx="4">
                  <c:v>11830</c:v>
                </c:pt>
                <c:pt idx="5">
                  <c:v>7296</c:v>
                </c:pt>
                <c:pt idx="7">
                  <c:v>4978</c:v>
                </c:pt>
                <c:pt idx="11">
                  <c:v>40940</c:v>
                </c:pt>
                <c:pt idx="13">
                  <c:v>5252</c:v>
                </c:pt>
                <c:pt idx="15">
                  <c:v>61724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A9-48A2-97DF-25C48E146C45}"/>
            </c:ext>
          </c:extLst>
        </c:ser>
        <c:ser>
          <c:idx val="1"/>
          <c:order val="1"/>
          <c:tx>
            <c:v>계획</c:v>
          </c:tx>
          <c:cat>
            <c:strRef>
              <c:f>'02'!$D$6:$D$27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'02'!$J$6:$J$27</c:f>
              <c:numCache>
                <c:formatCode>_(* #,##0_);_(* \(#,##0\);_(* "-"_);_(@_)</c:formatCode>
                <c:ptCount val="22"/>
                <c:pt idx="0">
                  <c:v>4354</c:v>
                </c:pt>
                <c:pt idx="1">
                  <c:v>9113</c:v>
                </c:pt>
                <c:pt idx="2">
                  <c:v>1708</c:v>
                </c:pt>
                <c:pt idx="3">
                  <c:v>11914</c:v>
                </c:pt>
                <c:pt idx="4">
                  <c:v>11830</c:v>
                </c:pt>
                <c:pt idx="5">
                  <c:v>7296</c:v>
                </c:pt>
                <c:pt idx="6">
                  <c:v>1829</c:v>
                </c:pt>
                <c:pt idx="7">
                  <c:v>4978</c:v>
                </c:pt>
                <c:pt idx="8">
                  <c:v>750</c:v>
                </c:pt>
                <c:pt idx="9">
                  <c:v>26300</c:v>
                </c:pt>
                <c:pt idx="10">
                  <c:v>1142</c:v>
                </c:pt>
                <c:pt idx="11">
                  <c:v>40940</c:v>
                </c:pt>
                <c:pt idx="12">
                  <c:v>1509</c:v>
                </c:pt>
                <c:pt idx="13">
                  <c:v>5252</c:v>
                </c:pt>
                <c:pt idx="14">
                  <c:v>11136</c:v>
                </c:pt>
                <c:pt idx="15">
                  <c:v>61724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A9-48A2-97DF-25C48E146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'02'!$AD$6:$AD$27</c:f>
              <c:strCache>
                <c:ptCount val="22"/>
                <c:pt idx="0">
                  <c:v>88%</c:v>
                </c:pt>
                <c:pt idx="1">
                  <c:v>92%</c:v>
                </c:pt>
                <c:pt idx="2">
                  <c:v>17%</c:v>
                </c:pt>
                <c:pt idx="3">
                  <c:v>96%</c:v>
                </c:pt>
                <c:pt idx="4">
                  <c:v>96%</c:v>
                </c:pt>
                <c:pt idx="5">
                  <c:v>79%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'02'!$AD$6:$AD$27</c:f>
              <c:numCache>
                <c:formatCode>0%</c:formatCode>
                <c:ptCount val="22"/>
                <c:pt idx="0">
                  <c:v>0.875</c:v>
                </c:pt>
                <c:pt idx="1">
                  <c:v>0.91666666666666663</c:v>
                </c:pt>
                <c:pt idx="2">
                  <c:v>0.16666666666666666</c:v>
                </c:pt>
                <c:pt idx="3">
                  <c:v>0.95833333333333337</c:v>
                </c:pt>
                <c:pt idx="4">
                  <c:v>0.95833333333333337</c:v>
                </c:pt>
                <c:pt idx="5">
                  <c:v>0.79166666666666663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8F-4058-8E21-CE20B28D344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8F-4058-8E21-CE20B28D344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U/BASE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'02'!$AE$6:$AE$27</c:f>
              <c:numCache>
                <c:formatCode>0%</c:formatCode>
                <c:ptCount val="22"/>
                <c:pt idx="0">
                  <c:v>0.39393939393939398</c:v>
                </c:pt>
                <c:pt idx="1">
                  <c:v>0.39393939393939398</c:v>
                </c:pt>
                <c:pt idx="2">
                  <c:v>0.39393939393939398</c:v>
                </c:pt>
                <c:pt idx="3">
                  <c:v>0.39393939393939398</c:v>
                </c:pt>
                <c:pt idx="4">
                  <c:v>0.39393939393939398</c:v>
                </c:pt>
                <c:pt idx="5">
                  <c:v>0.39393939393939398</c:v>
                </c:pt>
                <c:pt idx="6">
                  <c:v>0.39393939393939398</c:v>
                </c:pt>
                <c:pt idx="7">
                  <c:v>0.39393939393939398</c:v>
                </c:pt>
                <c:pt idx="8">
                  <c:v>0.39393939393939398</c:v>
                </c:pt>
                <c:pt idx="9">
                  <c:v>0.39393939393939398</c:v>
                </c:pt>
                <c:pt idx="10">
                  <c:v>0.39393939393939398</c:v>
                </c:pt>
                <c:pt idx="11">
                  <c:v>0.39393939393939398</c:v>
                </c:pt>
                <c:pt idx="12">
                  <c:v>0.39393939393939398</c:v>
                </c:pt>
                <c:pt idx="13">
                  <c:v>0.39393939393939398</c:v>
                </c:pt>
                <c:pt idx="14">
                  <c:v>0.39393939393939398</c:v>
                </c:pt>
                <c:pt idx="15">
                  <c:v>0.39393939393939398</c:v>
                </c:pt>
                <c:pt idx="16">
                  <c:v>0.39393939393939398</c:v>
                </c:pt>
                <c:pt idx="17">
                  <c:v>0.39393939393939398</c:v>
                </c:pt>
                <c:pt idx="18">
                  <c:v>0.39393939393939398</c:v>
                </c:pt>
                <c:pt idx="19">
                  <c:v>0.39393939393939398</c:v>
                </c:pt>
                <c:pt idx="20">
                  <c:v>0.39393939393939398</c:v>
                </c:pt>
                <c:pt idx="21">
                  <c:v>0.39393939393939398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8F-4058-8E21-CE20B28D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A1D-43B8-BC5D-DA9C2E1E58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1D-43B8-BC5D-DA9C2E1E5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A1D-43B8-BC5D-DA9C2E1E58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1D-43B8-BC5D-DA9C2E1E5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'03'!$L$6:$L$27</c:f>
              <c:numCache>
                <c:formatCode>_(* #,##0_);_(* \(#,##0\);_(* "-"_);_(@_)</c:formatCode>
                <c:ptCount val="22"/>
                <c:pt idx="0">
                  <c:v>4120</c:v>
                </c:pt>
                <c:pt idx="1">
                  <c:v>10064</c:v>
                </c:pt>
                <c:pt idx="2">
                  <c:v>5184</c:v>
                </c:pt>
                <c:pt idx="3">
                  <c:v>12528</c:v>
                </c:pt>
                <c:pt idx="4">
                  <c:v>12840</c:v>
                </c:pt>
                <c:pt idx="5">
                  <c:v>11888</c:v>
                </c:pt>
                <c:pt idx="6">
                  <c:v>20996</c:v>
                </c:pt>
                <c:pt idx="7">
                  <c:v>16648</c:v>
                </c:pt>
                <c:pt idx="11">
                  <c:v>28200</c:v>
                </c:pt>
                <c:pt idx="13">
                  <c:v>4771</c:v>
                </c:pt>
                <c:pt idx="14">
                  <c:v>20020</c:v>
                </c:pt>
                <c:pt idx="15">
                  <c:v>33064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A5-4BB1-BA9E-8C257AFEE633}"/>
            </c:ext>
          </c:extLst>
        </c:ser>
        <c:ser>
          <c:idx val="1"/>
          <c:order val="1"/>
          <c:tx>
            <c:v>계획</c:v>
          </c:tx>
          <c:cat>
            <c:strRef>
              <c:f>'03'!$D$6:$D$27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'03'!$J$6:$J$27</c:f>
              <c:numCache>
                <c:formatCode>_(* #,##0_);_(* \(#,##0\);_(* "-"_);_(@_)</c:formatCode>
                <c:ptCount val="22"/>
                <c:pt idx="0">
                  <c:v>4120</c:v>
                </c:pt>
                <c:pt idx="1">
                  <c:v>10064</c:v>
                </c:pt>
                <c:pt idx="2">
                  <c:v>5184</c:v>
                </c:pt>
                <c:pt idx="3">
                  <c:v>12528</c:v>
                </c:pt>
                <c:pt idx="4">
                  <c:v>12840</c:v>
                </c:pt>
                <c:pt idx="5">
                  <c:v>11888</c:v>
                </c:pt>
                <c:pt idx="6">
                  <c:v>20996</c:v>
                </c:pt>
                <c:pt idx="7">
                  <c:v>16648</c:v>
                </c:pt>
                <c:pt idx="8">
                  <c:v>750</c:v>
                </c:pt>
                <c:pt idx="9">
                  <c:v>26300</c:v>
                </c:pt>
                <c:pt idx="10">
                  <c:v>1142</c:v>
                </c:pt>
                <c:pt idx="11">
                  <c:v>28200</c:v>
                </c:pt>
                <c:pt idx="12">
                  <c:v>1509</c:v>
                </c:pt>
                <c:pt idx="13">
                  <c:v>4771</c:v>
                </c:pt>
                <c:pt idx="14">
                  <c:v>20020</c:v>
                </c:pt>
                <c:pt idx="15">
                  <c:v>33064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A5-4BB1-BA9E-8C257AFEE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'03'!$AD$6:$AD$27</c:f>
              <c:strCache>
                <c:ptCount val="22"/>
                <c:pt idx="0">
                  <c:v>88%</c:v>
                </c:pt>
                <c:pt idx="1">
                  <c:v>88%</c:v>
                </c:pt>
                <c:pt idx="2">
                  <c:v>54%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75%</c:v>
                </c:pt>
                <c:pt idx="12">
                  <c:v>0%</c:v>
                </c:pt>
                <c:pt idx="13">
                  <c:v>83%</c:v>
                </c:pt>
                <c:pt idx="14">
                  <c:v>96%</c:v>
                </c:pt>
                <c:pt idx="15">
                  <c:v>63%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'03'!$AD$6:$AD$27</c:f>
              <c:numCache>
                <c:formatCode>0%</c:formatCode>
                <c:ptCount val="22"/>
                <c:pt idx="0">
                  <c:v>0.875</c:v>
                </c:pt>
                <c:pt idx="1">
                  <c:v>0.875</c:v>
                </c:pt>
                <c:pt idx="2">
                  <c:v>0.54166666666666663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0.75</c:v>
                </c:pt>
                <c:pt idx="12">
                  <c:v>0</c:v>
                </c:pt>
                <c:pt idx="13">
                  <c:v>0.83333333333333337</c:v>
                </c:pt>
                <c:pt idx="14">
                  <c:v>0.95833333333333337</c:v>
                </c:pt>
                <c:pt idx="15">
                  <c:v>0.625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5A-4A1D-BD4B-B4AE5F4924F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5A-4A1D-BD4B-B4AE5F4924F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'03'!$AE$6:$AE$27</c:f>
              <c:numCache>
                <c:formatCode>0%</c:formatCode>
                <c:ptCount val="22"/>
                <c:pt idx="0">
                  <c:v>0.46590909090909088</c:v>
                </c:pt>
                <c:pt idx="1">
                  <c:v>0.46590909090909088</c:v>
                </c:pt>
                <c:pt idx="2">
                  <c:v>0.46590909090909088</c:v>
                </c:pt>
                <c:pt idx="3">
                  <c:v>0.46590909090909088</c:v>
                </c:pt>
                <c:pt idx="4">
                  <c:v>0.46590909090909088</c:v>
                </c:pt>
                <c:pt idx="5">
                  <c:v>0.46590909090909088</c:v>
                </c:pt>
                <c:pt idx="6">
                  <c:v>0.46590909090909088</c:v>
                </c:pt>
                <c:pt idx="7">
                  <c:v>0.46590909090909088</c:v>
                </c:pt>
                <c:pt idx="8">
                  <c:v>0.46590909090909088</c:v>
                </c:pt>
                <c:pt idx="9">
                  <c:v>0.46590909090909088</c:v>
                </c:pt>
                <c:pt idx="10">
                  <c:v>0.46590909090909088</c:v>
                </c:pt>
                <c:pt idx="11">
                  <c:v>0.46590909090909088</c:v>
                </c:pt>
                <c:pt idx="12">
                  <c:v>0.46590909090909088</c:v>
                </c:pt>
                <c:pt idx="13">
                  <c:v>0.46590909090909088</c:v>
                </c:pt>
                <c:pt idx="14">
                  <c:v>0.46590909090909088</c:v>
                </c:pt>
                <c:pt idx="15">
                  <c:v>0.46590909090909088</c:v>
                </c:pt>
                <c:pt idx="16">
                  <c:v>0.46590909090909088</c:v>
                </c:pt>
                <c:pt idx="17">
                  <c:v>0.46590909090909088</c:v>
                </c:pt>
                <c:pt idx="18">
                  <c:v>0.46590909090909088</c:v>
                </c:pt>
                <c:pt idx="19">
                  <c:v>0.46590909090909088</c:v>
                </c:pt>
                <c:pt idx="20">
                  <c:v>0.46590909090909088</c:v>
                </c:pt>
                <c:pt idx="21">
                  <c:v>0.46590909090909088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5A-4A1D-BD4B-B4AE5F492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'03'!$L$6:$L$27</c:f>
              <c:numCache>
                <c:formatCode>_(* #,##0_);_(* \(#,##0\);_(* "-"_);_(@_)</c:formatCode>
                <c:ptCount val="22"/>
                <c:pt idx="0">
                  <c:v>4120</c:v>
                </c:pt>
                <c:pt idx="1">
                  <c:v>10064</c:v>
                </c:pt>
                <c:pt idx="2">
                  <c:v>5184</c:v>
                </c:pt>
                <c:pt idx="3">
                  <c:v>12528</c:v>
                </c:pt>
                <c:pt idx="4">
                  <c:v>12840</c:v>
                </c:pt>
                <c:pt idx="5">
                  <c:v>11888</c:v>
                </c:pt>
                <c:pt idx="6">
                  <c:v>20996</c:v>
                </c:pt>
                <c:pt idx="7">
                  <c:v>16648</c:v>
                </c:pt>
                <c:pt idx="11">
                  <c:v>28200</c:v>
                </c:pt>
                <c:pt idx="13">
                  <c:v>4771</c:v>
                </c:pt>
                <c:pt idx="14">
                  <c:v>20020</c:v>
                </c:pt>
                <c:pt idx="15">
                  <c:v>33064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A-47A7-B620-5E56E7DBE96D}"/>
            </c:ext>
          </c:extLst>
        </c:ser>
        <c:ser>
          <c:idx val="1"/>
          <c:order val="1"/>
          <c:tx>
            <c:v>계획</c:v>
          </c:tx>
          <c:cat>
            <c:strRef>
              <c:f>'03'!$D$6:$D$27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'03'!$J$6:$J$27</c:f>
              <c:numCache>
                <c:formatCode>_(* #,##0_);_(* \(#,##0\);_(* "-"_);_(@_)</c:formatCode>
                <c:ptCount val="22"/>
                <c:pt idx="0">
                  <c:v>4120</c:v>
                </c:pt>
                <c:pt idx="1">
                  <c:v>10064</c:v>
                </c:pt>
                <c:pt idx="2">
                  <c:v>5184</c:v>
                </c:pt>
                <c:pt idx="3">
                  <c:v>12528</c:v>
                </c:pt>
                <c:pt idx="4">
                  <c:v>12840</c:v>
                </c:pt>
                <c:pt idx="5">
                  <c:v>11888</c:v>
                </c:pt>
                <c:pt idx="6">
                  <c:v>20996</c:v>
                </c:pt>
                <c:pt idx="7">
                  <c:v>16648</c:v>
                </c:pt>
                <c:pt idx="8">
                  <c:v>750</c:v>
                </c:pt>
                <c:pt idx="9">
                  <c:v>26300</c:v>
                </c:pt>
                <c:pt idx="10">
                  <c:v>1142</c:v>
                </c:pt>
                <c:pt idx="11">
                  <c:v>28200</c:v>
                </c:pt>
                <c:pt idx="12">
                  <c:v>1509</c:v>
                </c:pt>
                <c:pt idx="13">
                  <c:v>4771</c:v>
                </c:pt>
                <c:pt idx="14">
                  <c:v>20020</c:v>
                </c:pt>
                <c:pt idx="15">
                  <c:v>33064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EA-47A7-B620-5E56E7DBE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'03'!$AD$6:$AD$27</c:f>
              <c:strCache>
                <c:ptCount val="22"/>
                <c:pt idx="0">
                  <c:v>88%</c:v>
                </c:pt>
                <c:pt idx="1">
                  <c:v>88%</c:v>
                </c:pt>
                <c:pt idx="2">
                  <c:v>54%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75%</c:v>
                </c:pt>
                <c:pt idx="12">
                  <c:v>0%</c:v>
                </c:pt>
                <c:pt idx="13">
                  <c:v>83%</c:v>
                </c:pt>
                <c:pt idx="14">
                  <c:v>96%</c:v>
                </c:pt>
                <c:pt idx="15">
                  <c:v>63%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'03'!$AD$6:$AD$27</c:f>
              <c:numCache>
                <c:formatCode>0%</c:formatCode>
                <c:ptCount val="22"/>
                <c:pt idx="0">
                  <c:v>0.875</c:v>
                </c:pt>
                <c:pt idx="1">
                  <c:v>0.875</c:v>
                </c:pt>
                <c:pt idx="2">
                  <c:v>0.54166666666666663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0.75</c:v>
                </c:pt>
                <c:pt idx="12">
                  <c:v>0</c:v>
                </c:pt>
                <c:pt idx="13">
                  <c:v>0.83333333333333337</c:v>
                </c:pt>
                <c:pt idx="14">
                  <c:v>0.95833333333333337</c:v>
                </c:pt>
                <c:pt idx="15">
                  <c:v>0.625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8-4611-8634-CDFBAA0E945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C8-4611-8634-CDFBAA0E945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'03'!$AE$6:$AE$27</c:f>
              <c:numCache>
                <c:formatCode>0%</c:formatCode>
                <c:ptCount val="22"/>
                <c:pt idx="0">
                  <c:v>0.46590909090909088</c:v>
                </c:pt>
                <c:pt idx="1">
                  <c:v>0.46590909090909088</c:v>
                </c:pt>
                <c:pt idx="2">
                  <c:v>0.46590909090909088</c:v>
                </c:pt>
                <c:pt idx="3">
                  <c:v>0.46590909090909088</c:v>
                </c:pt>
                <c:pt idx="4">
                  <c:v>0.46590909090909088</c:v>
                </c:pt>
                <c:pt idx="5">
                  <c:v>0.46590909090909088</c:v>
                </c:pt>
                <c:pt idx="6">
                  <c:v>0.46590909090909088</c:v>
                </c:pt>
                <c:pt idx="7">
                  <c:v>0.46590909090909088</c:v>
                </c:pt>
                <c:pt idx="8">
                  <c:v>0.46590909090909088</c:v>
                </c:pt>
                <c:pt idx="9">
                  <c:v>0.46590909090909088</c:v>
                </c:pt>
                <c:pt idx="10">
                  <c:v>0.46590909090909088</c:v>
                </c:pt>
                <c:pt idx="11">
                  <c:v>0.46590909090909088</c:v>
                </c:pt>
                <c:pt idx="12">
                  <c:v>0.46590909090909088</c:v>
                </c:pt>
                <c:pt idx="13">
                  <c:v>0.46590909090909088</c:v>
                </c:pt>
                <c:pt idx="14">
                  <c:v>0.46590909090909088</c:v>
                </c:pt>
                <c:pt idx="15">
                  <c:v>0.46590909090909088</c:v>
                </c:pt>
                <c:pt idx="16">
                  <c:v>0.46590909090909088</c:v>
                </c:pt>
                <c:pt idx="17">
                  <c:v>0.46590909090909088</c:v>
                </c:pt>
                <c:pt idx="18">
                  <c:v>0.46590909090909088</c:v>
                </c:pt>
                <c:pt idx="19">
                  <c:v>0.46590909090909088</c:v>
                </c:pt>
                <c:pt idx="20">
                  <c:v>0.46590909090909088</c:v>
                </c:pt>
                <c:pt idx="21">
                  <c:v>0.46590909090909088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C8-4611-8634-CDFBAA0E9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B8B-447E-BD1D-DD4DBC833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8B-447E-BD1D-DD4DBC833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B8B-447E-BD1D-DD4DBC8331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8B-447E-BD1D-DD4DBC833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'04'!$L$6:$L$27</c:f>
              <c:numCache>
                <c:formatCode>_(* #,##0_);_(* \(#,##0\);_(* "-"_);_(@_)</c:formatCode>
                <c:ptCount val="22"/>
                <c:pt idx="1">
                  <c:v>12756</c:v>
                </c:pt>
                <c:pt idx="2">
                  <c:v>11810</c:v>
                </c:pt>
                <c:pt idx="3">
                  <c:v>12574</c:v>
                </c:pt>
                <c:pt idx="4">
                  <c:v>12918</c:v>
                </c:pt>
                <c:pt idx="5">
                  <c:v>11914</c:v>
                </c:pt>
                <c:pt idx="6">
                  <c:v>22464</c:v>
                </c:pt>
                <c:pt idx="7">
                  <c:v>26288</c:v>
                </c:pt>
                <c:pt idx="8">
                  <c:v>130</c:v>
                </c:pt>
                <c:pt idx="12">
                  <c:v>1720</c:v>
                </c:pt>
                <c:pt idx="13">
                  <c:v>4224</c:v>
                </c:pt>
                <c:pt idx="14">
                  <c:v>14558</c:v>
                </c:pt>
                <c:pt idx="15">
                  <c:v>28160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D6-4007-9265-9EBA790A72A2}"/>
            </c:ext>
          </c:extLst>
        </c:ser>
        <c:ser>
          <c:idx val="1"/>
          <c:order val="1"/>
          <c:tx>
            <c:v>계획</c:v>
          </c:tx>
          <c:cat>
            <c:strRef>
              <c:f>'04'!$D$6:$D$27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'04'!$J$6:$J$27</c:f>
              <c:numCache>
                <c:formatCode>_(* #,##0_);_(* \(#,##0\);_(* "-"_);_(@_)</c:formatCode>
                <c:ptCount val="22"/>
                <c:pt idx="0">
                  <c:v>4120</c:v>
                </c:pt>
                <c:pt idx="1">
                  <c:v>12756</c:v>
                </c:pt>
                <c:pt idx="2">
                  <c:v>11810</c:v>
                </c:pt>
                <c:pt idx="3">
                  <c:v>12574</c:v>
                </c:pt>
                <c:pt idx="4">
                  <c:v>12918</c:v>
                </c:pt>
                <c:pt idx="5">
                  <c:v>11914</c:v>
                </c:pt>
                <c:pt idx="6">
                  <c:v>22464</c:v>
                </c:pt>
                <c:pt idx="7">
                  <c:v>26288</c:v>
                </c:pt>
                <c:pt idx="8">
                  <c:v>130</c:v>
                </c:pt>
                <c:pt idx="9">
                  <c:v>26300</c:v>
                </c:pt>
                <c:pt idx="10">
                  <c:v>1142</c:v>
                </c:pt>
                <c:pt idx="11">
                  <c:v>28200</c:v>
                </c:pt>
                <c:pt idx="12">
                  <c:v>1720</c:v>
                </c:pt>
                <c:pt idx="13">
                  <c:v>4224</c:v>
                </c:pt>
                <c:pt idx="14">
                  <c:v>14558</c:v>
                </c:pt>
                <c:pt idx="15">
                  <c:v>28160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D6-4007-9265-9EBA790A7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38%</c:v>
                </c:pt>
                <c:pt idx="13">
                  <c:v>79%</c:v>
                </c:pt>
                <c:pt idx="14">
                  <c:v>88%</c:v>
                </c:pt>
                <c:pt idx="15">
                  <c:v>42%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0.375</c:v>
                </c:pt>
                <c:pt idx="13">
                  <c:v>0.79166666666666663</c:v>
                </c:pt>
                <c:pt idx="14">
                  <c:v>0.875</c:v>
                </c:pt>
                <c:pt idx="15">
                  <c:v>0.41666666666666669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6-466F-9973-46A80AB20EF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76-466F-9973-46A80AB20EF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'04'!$AE$6:$AE$27</c:f>
              <c:numCache>
                <c:formatCode>0%</c:formatCode>
                <c:ptCount val="22"/>
                <c:pt idx="0">
                  <c:v>0.4375</c:v>
                </c:pt>
                <c:pt idx="1">
                  <c:v>0.4375</c:v>
                </c:pt>
                <c:pt idx="2">
                  <c:v>0.4375</c:v>
                </c:pt>
                <c:pt idx="3">
                  <c:v>0.4375</c:v>
                </c:pt>
                <c:pt idx="4">
                  <c:v>0.4375</c:v>
                </c:pt>
                <c:pt idx="5">
                  <c:v>0.4375</c:v>
                </c:pt>
                <c:pt idx="6">
                  <c:v>0.4375</c:v>
                </c:pt>
                <c:pt idx="7">
                  <c:v>0.4375</c:v>
                </c:pt>
                <c:pt idx="8">
                  <c:v>0.4375</c:v>
                </c:pt>
                <c:pt idx="9">
                  <c:v>0.4375</c:v>
                </c:pt>
                <c:pt idx="10">
                  <c:v>0.4375</c:v>
                </c:pt>
                <c:pt idx="11">
                  <c:v>0.4375</c:v>
                </c:pt>
                <c:pt idx="12">
                  <c:v>0.4375</c:v>
                </c:pt>
                <c:pt idx="13">
                  <c:v>0.4375</c:v>
                </c:pt>
                <c:pt idx="14">
                  <c:v>0.4375</c:v>
                </c:pt>
                <c:pt idx="15">
                  <c:v>0.4375</c:v>
                </c:pt>
                <c:pt idx="16">
                  <c:v>0.4375</c:v>
                </c:pt>
                <c:pt idx="17">
                  <c:v>0.4375</c:v>
                </c:pt>
                <c:pt idx="18">
                  <c:v>0.4375</c:v>
                </c:pt>
                <c:pt idx="19">
                  <c:v>0.4375</c:v>
                </c:pt>
                <c:pt idx="20">
                  <c:v>0.4375</c:v>
                </c:pt>
                <c:pt idx="21">
                  <c:v>0.4375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76-466F-9973-46A80AB20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'04'!$L$6:$L$27</c:f>
              <c:numCache>
                <c:formatCode>_(* #,##0_);_(* \(#,##0\);_(* "-"_);_(@_)</c:formatCode>
                <c:ptCount val="22"/>
                <c:pt idx="1">
                  <c:v>12756</c:v>
                </c:pt>
                <c:pt idx="2">
                  <c:v>11810</c:v>
                </c:pt>
                <c:pt idx="3">
                  <c:v>12574</c:v>
                </c:pt>
                <c:pt idx="4">
                  <c:v>12918</c:v>
                </c:pt>
                <c:pt idx="5">
                  <c:v>11914</c:v>
                </c:pt>
                <c:pt idx="6">
                  <c:v>22464</c:v>
                </c:pt>
                <c:pt idx="7">
                  <c:v>26288</c:v>
                </c:pt>
                <c:pt idx="8">
                  <c:v>130</c:v>
                </c:pt>
                <c:pt idx="12">
                  <c:v>1720</c:v>
                </c:pt>
                <c:pt idx="13">
                  <c:v>4224</c:v>
                </c:pt>
                <c:pt idx="14">
                  <c:v>14558</c:v>
                </c:pt>
                <c:pt idx="15">
                  <c:v>28160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E-41AF-B740-4B918129EEF8}"/>
            </c:ext>
          </c:extLst>
        </c:ser>
        <c:ser>
          <c:idx val="1"/>
          <c:order val="1"/>
          <c:tx>
            <c:v>계획</c:v>
          </c:tx>
          <c:cat>
            <c:strRef>
              <c:f>'04'!$D$6:$D$27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'04'!$J$6:$J$27</c:f>
              <c:numCache>
                <c:formatCode>_(* #,##0_);_(* \(#,##0\);_(* "-"_);_(@_)</c:formatCode>
                <c:ptCount val="22"/>
                <c:pt idx="0">
                  <c:v>4120</c:v>
                </c:pt>
                <c:pt idx="1">
                  <c:v>12756</c:v>
                </c:pt>
                <c:pt idx="2">
                  <c:v>11810</c:v>
                </c:pt>
                <c:pt idx="3">
                  <c:v>12574</c:v>
                </c:pt>
                <c:pt idx="4">
                  <c:v>12918</c:v>
                </c:pt>
                <c:pt idx="5">
                  <c:v>11914</c:v>
                </c:pt>
                <c:pt idx="6">
                  <c:v>22464</c:v>
                </c:pt>
                <c:pt idx="7">
                  <c:v>26288</c:v>
                </c:pt>
                <c:pt idx="8">
                  <c:v>130</c:v>
                </c:pt>
                <c:pt idx="9">
                  <c:v>26300</c:v>
                </c:pt>
                <c:pt idx="10">
                  <c:v>1142</c:v>
                </c:pt>
                <c:pt idx="11">
                  <c:v>28200</c:v>
                </c:pt>
                <c:pt idx="12">
                  <c:v>1720</c:v>
                </c:pt>
                <c:pt idx="13">
                  <c:v>4224</c:v>
                </c:pt>
                <c:pt idx="14">
                  <c:v>14558</c:v>
                </c:pt>
                <c:pt idx="15">
                  <c:v>28160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5E-41AF-B740-4B918129E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38%</c:v>
                </c:pt>
                <c:pt idx="13">
                  <c:v>79%</c:v>
                </c:pt>
                <c:pt idx="14">
                  <c:v>88%</c:v>
                </c:pt>
                <c:pt idx="15">
                  <c:v>42%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0.375</c:v>
                </c:pt>
                <c:pt idx="13">
                  <c:v>0.79166666666666663</c:v>
                </c:pt>
                <c:pt idx="14">
                  <c:v>0.875</c:v>
                </c:pt>
                <c:pt idx="15">
                  <c:v>0.41666666666666669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6-43E9-A4AE-302744AD59E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E6-43E9-A4AE-302744AD59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'04'!$AE$6:$AE$27</c:f>
              <c:numCache>
                <c:formatCode>0%</c:formatCode>
                <c:ptCount val="22"/>
                <c:pt idx="0">
                  <c:v>0.4375</c:v>
                </c:pt>
                <c:pt idx="1">
                  <c:v>0.4375</c:v>
                </c:pt>
                <c:pt idx="2">
                  <c:v>0.4375</c:v>
                </c:pt>
                <c:pt idx="3">
                  <c:v>0.4375</c:v>
                </c:pt>
                <c:pt idx="4">
                  <c:v>0.4375</c:v>
                </c:pt>
                <c:pt idx="5">
                  <c:v>0.4375</c:v>
                </c:pt>
                <c:pt idx="6">
                  <c:v>0.4375</c:v>
                </c:pt>
                <c:pt idx="7">
                  <c:v>0.4375</c:v>
                </c:pt>
                <c:pt idx="8">
                  <c:v>0.4375</c:v>
                </c:pt>
                <c:pt idx="9">
                  <c:v>0.4375</c:v>
                </c:pt>
                <c:pt idx="10">
                  <c:v>0.4375</c:v>
                </c:pt>
                <c:pt idx="11">
                  <c:v>0.4375</c:v>
                </c:pt>
                <c:pt idx="12">
                  <c:v>0.4375</c:v>
                </c:pt>
                <c:pt idx="13">
                  <c:v>0.4375</c:v>
                </c:pt>
                <c:pt idx="14">
                  <c:v>0.4375</c:v>
                </c:pt>
                <c:pt idx="15">
                  <c:v>0.4375</c:v>
                </c:pt>
                <c:pt idx="16">
                  <c:v>0.4375</c:v>
                </c:pt>
                <c:pt idx="17">
                  <c:v>0.4375</c:v>
                </c:pt>
                <c:pt idx="18">
                  <c:v>0.4375</c:v>
                </c:pt>
                <c:pt idx="19">
                  <c:v>0.4375</c:v>
                </c:pt>
                <c:pt idx="20">
                  <c:v>0.4375</c:v>
                </c:pt>
                <c:pt idx="21">
                  <c:v>0.4375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E6-43E9-A4AE-302744AD5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C09-471F-9585-F65EC84058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09-471F-9585-F65EC8405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C09-471F-9585-F65EC84058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09-471F-9585-F65EC8405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'05'!$L$6:$L$27</c:f>
              <c:numCache>
                <c:formatCode>_(* #,##0_);_(* \(#,##0\);_(* "-"_);_(@_)</c:formatCode>
                <c:ptCount val="22"/>
                <c:pt idx="1">
                  <c:v>9446</c:v>
                </c:pt>
                <c:pt idx="2">
                  <c:v>11756</c:v>
                </c:pt>
                <c:pt idx="3">
                  <c:v>9262</c:v>
                </c:pt>
                <c:pt idx="4">
                  <c:v>12834</c:v>
                </c:pt>
                <c:pt idx="5">
                  <c:v>11884</c:v>
                </c:pt>
                <c:pt idx="7">
                  <c:v>26040</c:v>
                </c:pt>
                <c:pt idx="8">
                  <c:v>180</c:v>
                </c:pt>
                <c:pt idx="13">
                  <c:v>1170</c:v>
                </c:pt>
                <c:pt idx="14">
                  <c:v>6956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2A-474C-8AE6-75AA2D477977}"/>
            </c:ext>
          </c:extLst>
        </c:ser>
        <c:ser>
          <c:idx val="1"/>
          <c:order val="1"/>
          <c:tx>
            <c:v>계획</c:v>
          </c:tx>
          <c:cat>
            <c:strRef>
              <c:f>'05'!$D$6:$D$27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'05'!$J$6:$J$27</c:f>
              <c:numCache>
                <c:formatCode>_(* #,##0_);_(* \(#,##0\);_(* "-"_);_(@_)</c:formatCode>
                <c:ptCount val="22"/>
                <c:pt idx="0">
                  <c:v>4120</c:v>
                </c:pt>
                <c:pt idx="1">
                  <c:v>9446</c:v>
                </c:pt>
                <c:pt idx="2">
                  <c:v>11756</c:v>
                </c:pt>
                <c:pt idx="3">
                  <c:v>9262</c:v>
                </c:pt>
                <c:pt idx="4">
                  <c:v>12834</c:v>
                </c:pt>
                <c:pt idx="5">
                  <c:v>11884</c:v>
                </c:pt>
                <c:pt idx="6">
                  <c:v>22464</c:v>
                </c:pt>
                <c:pt idx="7">
                  <c:v>26040</c:v>
                </c:pt>
                <c:pt idx="8">
                  <c:v>180</c:v>
                </c:pt>
                <c:pt idx="9">
                  <c:v>26300</c:v>
                </c:pt>
                <c:pt idx="10">
                  <c:v>1142</c:v>
                </c:pt>
                <c:pt idx="11">
                  <c:v>28200</c:v>
                </c:pt>
                <c:pt idx="12">
                  <c:v>1720</c:v>
                </c:pt>
                <c:pt idx="13">
                  <c:v>1170</c:v>
                </c:pt>
                <c:pt idx="14">
                  <c:v>6956</c:v>
                </c:pt>
                <c:pt idx="15">
                  <c:v>28160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2A-474C-8AE6-75AA2D477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25%</c:v>
                </c:pt>
                <c:pt idx="14">
                  <c:v>75%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0.25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4-4131-A22A-A3BBBC17656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64-4131-A22A-A3BBBC17656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'05'!$AE$6:$AE$27</c:f>
              <c:numCache>
                <c:formatCode>0%</c:formatCode>
                <c:ptCount val="22"/>
                <c:pt idx="0">
                  <c:v>0.32575757575757575</c:v>
                </c:pt>
                <c:pt idx="1">
                  <c:v>0.32575757575757575</c:v>
                </c:pt>
                <c:pt idx="2">
                  <c:v>0.32575757575757575</c:v>
                </c:pt>
                <c:pt idx="3">
                  <c:v>0.32575757575757575</c:v>
                </c:pt>
                <c:pt idx="4">
                  <c:v>0.32575757575757575</c:v>
                </c:pt>
                <c:pt idx="5">
                  <c:v>0.32575757575757575</c:v>
                </c:pt>
                <c:pt idx="6">
                  <c:v>0.32575757575757575</c:v>
                </c:pt>
                <c:pt idx="7">
                  <c:v>0.32575757575757575</c:v>
                </c:pt>
                <c:pt idx="8">
                  <c:v>0.32575757575757575</c:v>
                </c:pt>
                <c:pt idx="9">
                  <c:v>0.32575757575757575</c:v>
                </c:pt>
                <c:pt idx="10">
                  <c:v>0.32575757575757575</c:v>
                </c:pt>
                <c:pt idx="11">
                  <c:v>0.32575757575757575</c:v>
                </c:pt>
                <c:pt idx="12">
                  <c:v>0.32575757575757575</c:v>
                </c:pt>
                <c:pt idx="13">
                  <c:v>0.32575757575757575</c:v>
                </c:pt>
                <c:pt idx="14">
                  <c:v>0.32575757575757575</c:v>
                </c:pt>
                <c:pt idx="15">
                  <c:v>0.32575757575757575</c:v>
                </c:pt>
                <c:pt idx="16">
                  <c:v>0.32575757575757575</c:v>
                </c:pt>
                <c:pt idx="17">
                  <c:v>0.32575757575757575</c:v>
                </c:pt>
                <c:pt idx="18">
                  <c:v>0.32575757575757575</c:v>
                </c:pt>
                <c:pt idx="19">
                  <c:v>0.32575757575757575</c:v>
                </c:pt>
                <c:pt idx="20">
                  <c:v>0.32575757575757575</c:v>
                </c:pt>
                <c:pt idx="21">
                  <c:v>0.32575757575757575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64-4131-A22A-A3BBBC176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'05'!$L$6:$L$27</c:f>
              <c:numCache>
                <c:formatCode>_(* #,##0_);_(* \(#,##0\);_(* "-"_);_(@_)</c:formatCode>
                <c:ptCount val="22"/>
                <c:pt idx="1">
                  <c:v>9446</c:v>
                </c:pt>
                <c:pt idx="2">
                  <c:v>11756</c:v>
                </c:pt>
                <c:pt idx="3">
                  <c:v>9262</c:v>
                </c:pt>
                <c:pt idx="4">
                  <c:v>12834</c:v>
                </c:pt>
                <c:pt idx="5">
                  <c:v>11884</c:v>
                </c:pt>
                <c:pt idx="7">
                  <c:v>26040</c:v>
                </c:pt>
                <c:pt idx="8">
                  <c:v>180</c:v>
                </c:pt>
                <c:pt idx="13">
                  <c:v>1170</c:v>
                </c:pt>
                <c:pt idx="14">
                  <c:v>6956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9C-4323-BA86-779DA37F176C}"/>
            </c:ext>
          </c:extLst>
        </c:ser>
        <c:ser>
          <c:idx val="1"/>
          <c:order val="1"/>
          <c:tx>
            <c:v>계획</c:v>
          </c:tx>
          <c:cat>
            <c:strRef>
              <c:f>'05'!$D$6:$D$27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'05'!$J$6:$J$27</c:f>
              <c:numCache>
                <c:formatCode>_(* #,##0_);_(* \(#,##0\);_(* "-"_);_(@_)</c:formatCode>
                <c:ptCount val="22"/>
                <c:pt idx="0">
                  <c:v>4120</c:v>
                </c:pt>
                <c:pt idx="1">
                  <c:v>9446</c:v>
                </c:pt>
                <c:pt idx="2">
                  <c:v>11756</c:v>
                </c:pt>
                <c:pt idx="3">
                  <c:v>9262</c:v>
                </c:pt>
                <c:pt idx="4">
                  <c:v>12834</c:v>
                </c:pt>
                <c:pt idx="5">
                  <c:v>11884</c:v>
                </c:pt>
                <c:pt idx="6">
                  <c:v>22464</c:v>
                </c:pt>
                <c:pt idx="7">
                  <c:v>26040</c:v>
                </c:pt>
                <c:pt idx="8">
                  <c:v>180</c:v>
                </c:pt>
                <c:pt idx="9">
                  <c:v>26300</c:v>
                </c:pt>
                <c:pt idx="10">
                  <c:v>1142</c:v>
                </c:pt>
                <c:pt idx="11">
                  <c:v>28200</c:v>
                </c:pt>
                <c:pt idx="12">
                  <c:v>1720</c:v>
                </c:pt>
                <c:pt idx="13">
                  <c:v>1170</c:v>
                </c:pt>
                <c:pt idx="14">
                  <c:v>6956</c:v>
                </c:pt>
                <c:pt idx="15">
                  <c:v>28160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9C-4323-BA86-779DA37F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'05'!$AD$6:$AD$27</c:f>
              <c:strCache>
                <c:ptCount val="22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25%</c:v>
                </c:pt>
                <c:pt idx="14">
                  <c:v>75%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'05'!$AD$6:$AD$27</c:f>
              <c:numCache>
                <c:formatCode>0%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0.25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0-428B-AEA0-4DBBE75C764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60-428B-AEA0-4DBBE75C764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'05'!$AE$6:$AE$27</c:f>
              <c:numCache>
                <c:formatCode>0%</c:formatCode>
                <c:ptCount val="22"/>
                <c:pt idx="0">
                  <c:v>0.32575757575757575</c:v>
                </c:pt>
                <c:pt idx="1">
                  <c:v>0.32575757575757575</c:v>
                </c:pt>
                <c:pt idx="2">
                  <c:v>0.32575757575757575</c:v>
                </c:pt>
                <c:pt idx="3">
                  <c:v>0.32575757575757575</c:v>
                </c:pt>
                <c:pt idx="4">
                  <c:v>0.32575757575757575</c:v>
                </c:pt>
                <c:pt idx="5">
                  <c:v>0.32575757575757575</c:v>
                </c:pt>
                <c:pt idx="6">
                  <c:v>0.32575757575757575</c:v>
                </c:pt>
                <c:pt idx="7">
                  <c:v>0.32575757575757575</c:v>
                </c:pt>
                <c:pt idx="8">
                  <c:v>0.32575757575757575</c:v>
                </c:pt>
                <c:pt idx="9">
                  <c:v>0.32575757575757575</c:v>
                </c:pt>
                <c:pt idx="10">
                  <c:v>0.32575757575757575</c:v>
                </c:pt>
                <c:pt idx="11">
                  <c:v>0.32575757575757575</c:v>
                </c:pt>
                <c:pt idx="12">
                  <c:v>0.32575757575757575</c:v>
                </c:pt>
                <c:pt idx="13">
                  <c:v>0.32575757575757575</c:v>
                </c:pt>
                <c:pt idx="14">
                  <c:v>0.32575757575757575</c:v>
                </c:pt>
                <c:pt idx="15">
                  <c:v>0.32575757575757575</c:v>
                </c:pt>
                <c:pt idx="16">
                  <c:v>0.32575757575757575</c:v>
                </c:pt>
                <c:pt idx="17">
                  <c:v>0.32575757575757575</c:v>
                </c:pt>
                <c:pt idx="18">
                  <c:v>0.32575757575757575</c:v>
                </c:pt>
                <c:pt idx="19">
                  <c:v>0.32575757575757575</c:v>
                </c:pt>
                <c:pt idx="20">
                  <c:v>0.32575757575757575</c:v>
                </c:pt>
                <c:pt idx="21">
                  <c:v>0.32575757575757575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60-428B-AEA0-4DBBE75C7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BAD-4890-A64C-1A6C014A2A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D-4890-A64C-1A6C014A2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BAD-4890-A64C-1A6C014A2AF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AD-4890-A64C-1A6C014A2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'06'!$L$6:$L$27</c:f>
              <c:numCache>
                <c:formatCode>_(* #,##0_);_(* \(#,##0\);_(* "-"_);_(@_)</c:formatCode>
                <c:ptCount val="22"/>
                <c:pt idx="1">
                  <c:v>2965</c:v>
                </c:pt>
                <c:pt idx="2">
                  <c:v>5148</c:v>
                </c:pt>
                <c:pt idx="3">
                  <c:v>2544</c:v>
                </c:pt>
                <c:pt idx="4">
                  <c:v>5574</c:v>
                </c:pt>
                <c:pt idx="5">
                  <c:v>4302</c:v>
                </c:pt>
                <c:pt idx="6">
                  <c:v>1982</c:v>
                </c:pt>
                <c:pt idx="7">
                  <c:v>10860</c:v>
                </c:pt>
                <c:pt idx="12">
                  <c:v>1560</c:v>
                </c:pt>
                <c:pt idx="14">
                  <c:v>4260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B-424F-BB3D-2006E265B64E}"/>
            </c:ext>
          </c:extLst>
        </c:ser>
        <c:ser>
          <c:idx val="1"/>
          <c:order val="1"/>
          <c:tx>
            <c:v>계획</c:v>
          </c:tx>
          <c:cat>
            <c:strRef>
              <c:f>'06'!$D$6:$D$27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'06'!$J$6:$J$27</c:f>
              <c:numCache>
                <c:formatCode>_(* #,##0_);_(* \(#,##0\);_(* "-"_);_(@_)</c:formatCode>
                <c:ptCount val="22"/>
                <c:pt idx="0">
                  <c:v>4120</c:v>
                </c:pt>
                <c:pt idx="1">
                  <c:v>2965</c:v>
                </c:pt>
                <c:pt idx="2">
                  <c:v>5148</c:v>
                </c:pt>
                <c:pt idx="3">
                  <c:v>2544</c:v>
                </c:pt>
                <c:pt idx="4">
                  <c:v>5574</c:v>
                </c:pt>
                <c:pt idx="5">
                  <c:v>4302</c:v>
                </c:pt>
                <c:pt idx="6">
                  <c:v>1982</c:v>
                </c:pt>
                <c:pt idx="7">
                  <c:v>10860</c:v>
                </c:pt>
                <c:pt idx="8">
                  <c:v>180</c:v>
                </c:pt>
                <c:pt idx="9">
                  <c:v>26300</c:v>
                </c:pt>
                <c:pt idx="10">
                  <c:v>1142</c:v>
                </c:pt>
                <c:pt idx="11">
                  <c:v>28200</c:v>
                </c:pt>
                <c:pt idx="12">
                  <c:v>1560</c:v>
                </c:pt>
                <c:pt idx="13">
                  <c:v>1170</c:v>
                </c:pt>
                <c:pt idx="14">
                  <c:v>4260</c:v>
                </c:pt>
                <c:pt idx="15">
                  <c:v>28160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3B-424F-BB3D-2006E265B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'06'!$AD$6:$AD$27</c:f>
              <c:strCache>
                <c:ptCount val="22"/>
                <c:pt idx="0">
                  <c:v>0%</c:v>
                </c:pt>
                <c:pt idx="1">
                  <c:v>42%</c:v>
                </c:pt>
                <c:pt idx="2">
                  <c:v>42%</c:v>
                </c:pt>
                <c:pt idx="3">
                  <c:v>42%</c:v>
                </c:pt>
                <c:pt idx="4">
                  <c:v>42%</c:v>
                </c:pt>
                <c:pt idx="5">
                  <c:v>38%</c:v>
                </c:pt>
                <c:pt idx="6">
                  <c:v>42%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0%</c:v>
                </c:pt>
                <c:pt idx="14">
                  <c:v>25%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'06'!$AD$6:$AD$27</c:f>
              <c:numCache>
                <c:formatCode>0%</c:formatCode>
                <c:ptCount val="22"/>
                <c:pt idx="0">
                  <c:v>0</c:v>
                </c:pt>
                <c:pt idx="1">
                  <c:v>0.41666666666666669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0.375</c:v>
                </c:pt>
                <c:pt idx="6">
                  <c:v>0.41666666666666669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</c:v>
                </c:pt>
                <c:pt idx="14">
                  <c:v>0.25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74-454E-A23D-6600D19F8D3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74-454E-A23D-6600D19F8D3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'06'!$AE$6:$AE$27</c:f>
              <c:numCache>
                <c:formatCode>0%</c:formatCode>
                <c:ptCount val="22"/>
                <c:pt idx="0">
                  <c:v>0.15340909090909091</c:v>
                </c:pt>
                <c:pt idx="1">
                  <c:v>0.15340909090909091</c:v>
                </c:pt>
                <c:pt idx="2">
                  <c:v>0.15340909090909091</c:v>
                </c:pt>
                <c:pt idx="3">
                  <c:v>0.15340909090909091</c:v>
                </c:pt>
                <c:pt idx="4">
                  <c:v>0.15340909090909091</c:v>
                </c:pt>
                <c:pt idx="5">
                  <c:v>0.15340909090909091</c:v>
                </c:pt>
                <c:pt idx="6">
                  <c:v>0.15340909090909091</c:v>
                </c:pt>
                <c:pt idx="7">
                  <c:v>0.15340909090909091</c:v>
                </c:pt>
                <c:pt idx="8">
                  <c:v>0.15340909090909091</c:v>
                </c:pt>
                <c:pt idx="9">
                  <c:v>0.15340909090909091</c:v>
                </c:pt>
                <c:pt idx="10">
                  <c:v>0.15340909090909091</c:v>
                </c:pt>
                <c:pt idx="11">
                  <c:v>0.15340909090909091</c:v>
                </c:pt>
                <c:pt idx="12">
                  <c:v>0.15340909090909091</c:v>
                </c:pt>
                <c:pt idx="13">
                  <c:v>0.15340909090909091</c:v>
                </c:pt>
                <c:pt idx="14">
                  <c:v>0.15340909090909091</c:v>
                </c:pt>
                <c:pt idx="15">
                  <c:v>0.15340909090909091</c:v>
                </c:pt>
                <c:pt idx="16">
                  <c:v>0.15340909090909091</c:v>
                </c:pt>
                <c:pt idx="17">
                  <c:v>0.15340909090909091</c:v>
                </c:pt>
                <c:pt idx="18">
                  <c:v>0.15340909090909091</c:v>
                </c:pt>
                <c:pt idx="19">
                  <c:v>0.15340909090909091</c:v>
                </c:pt>
                <c:pt idx="20">
                  <c:v>0.15340909090909091</c:v>
                </c:pt>
                <c:pt idx="21">
                  <c:v>0.15340909090909091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74-454E-A23D-6600D19F8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'06'!$L$6:$L$27</c:f>
              <c:numCache>
                <c:formatCode>_(* #,##0_);_(* \(#,##0\);_(* "-"_);_(@_)</c:formatCode>
                <c:ptCount val="22"/>
                <c:pt idx="1">
                  <c:v>2965</c:v>
                </c:pt>
                <c:pt idx="2">
                  <c:v>5148</c:v>
                </c:pt>
                <c:pt idx="3">
                  <c:v>2544</c:v>
                </c:pt>
                <c:pt idx="4">
                  <c:v>5574</c:v>
                </c:pt>
                <c:pt idx="5">
                  <c:v>4302</c:v>
                </c:pt>
                <c:pt idx="6">
                  <c:v>1982</c:v>
                </c:pt>
                <c:pt idx="7">
                  <c:v>10860</c:v>
                </c:pt>
                <c:pt idx="12">
                  <c:v>1560</c:v>
                </c:pt>
                <c:pt idx="14">
                  <c:v>4260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27-4087-AD6D-F46AF2375671}"/>
            </c:ext>
          </c:extLst>
        </c:ser>
        <c:ser>
          <c:idx val="1"/>
          <c:order val="1"/>
          <c:tx>
            <c:v>계획</c:v>
          </c:tx>
          <c:cat>
            <c:strRef>
              <c:f>'06'!$D$6:$D$27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'06'!$J$6:$J$27</c:f>
              <c:numCache>
                <c:formatCode>_(* #,##0_);_(* \(#,##0\);_(* "-"_);_(@_)</c:formatCode>
                <c:ptCount val="22"/>
                <c:pt idx="0">
                  <c:v>4120</c:v>
                </c:pt>
                <c:pt idx="1">
                  <c:v>2965</c:v>
                </c:pt>
                <c:pt idx="2">
                  <c:v>5148</c:v>
                </c:pt>
                <c:pt idx="3">
                  <c:v>2544</c:v>
                </c:pt>
                <c:pt idx="4">
                  <c:v>5574</c:v>
                </c:pt>
                <c:pt idx="5">
                  <c:v>4302</c:v>
                </c:pt>
                <c:pt idx="6">
                  <c:v>1982</c:v>
                </c:pt>
                <c:pt idx="7">
                  <c:v>10860</c:v>
                </c:pt>
                <c:pt idx="8">
                  <c:v>180</c:v>
                </c:pt>
                <c:pt idx="9">
                  <c:v>26300</c:v>
                </c:pt>
                <c:pt idx="10">
                  <c:v>1142</c:v>
                </c:pt>
                <c:pt idx="11">
                  <c:v>28200</c:v>
                </c:pt>
                <c:pt idx="12">
                  <c:v>1560</c:v>
                </c:pt>
                <c:pt idx="13">
                  <c:v>1170</c:v>
                </c:pt>
                <c:pt idx="14">
                  <c:v>4260</c:v>
                </c:pt>
                <c:pt idx="15">
                  <c:v>28160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27-4087-AD6D-F46AF2375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'06'!$AD$6:$AD$27</c:f>
              <c:strCache>
                <c:ptCount val="22"/>
                <c:pt idx="0">
                  <c:v>0%</c:v>
                </c:pt>
                <c:pt idx="1">
                  <c:v>42%</c:v>
                </c:pt>
                <c:pt idx="2">
                  <c:v>42%</c:v>
                </c:pt>
                <c:pt idx="3">
                  <c:v>42%</c:v>
                </c:pt>
                <c:pt idx="4">
                  <c:v>42%</c:v>
                </c:pt>
                <c:pt idx="5">
                  <c:v>38%</c:v>
                </c:pt>
                <c:pt idx="6">
                  <c:v>42%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0%</c:v>
                </c:pt>
                <c:pt idx="14">
                  <c:v>25%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'06'!$AD$6:$AD$27</c:f>
              <c:numCache>
                <c:formatCode>0%</c:formatCode>
                <c:ptCount val="22"/>
                <c:pt idx="0">
                  <c:v>0</c:v>
                </c:pt>
                <c:pt idx="1">
                  <c:v>0.41666666666666669</c:v>
                </c:pt>
                <c:pt idx="2">
                  <c:v>0.41666666666666669</c:v>
                </c:pt>
                <c:pt idx="3">
                  <c:v>0.41666666666666669</c:v>
                </c:pt>
                <c:pt idx="4">
                  <c:v>0.41666666666666669</c:v>
                </c:pt>
                <c:pt idx="5">
                  <c:v>0.375</c:v>
                </c:pt>
                <c:pt idx="6">
                  <c:v>0.41666666666666669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</c:v>
                </c:pt>
                <c:pt idx="14">
                  <c:v>0.25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87-4089-AC21-AC86196ED51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87-4089-AC21-AC86196ED5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'06'!$AE$6:$AE$27</c:f>
              <c:numCache>
                <c:formatCode>0%</c:formatCode>
                <c:ptCount val="22"/>
                <c:pt idx="0">
                  <c:v>0.15340909090909091</c:v>
                </c:pt>
                <c:pt idx="1">
                  <c:v>0.15340909090909091</c:v>
                </c:pt>
                <c:pt idx="2">
                  <c:v>0.15340909090909091</c:v>
                </c:pt>
                <c:pt idx="3">
                  <c:v>0.15340909090909091</c:v>
                </c:pt>
                <c:pt idx="4">
                  <c:v>0.15340909090909091</c:v>
                </c:pt>
                <c:pt idx="5">
                  <c:v>0.15340909090909091</c:v>
                </c:pt>
                <c:pt idx="6">
                  <c:v>0.15340909090909091</c:v>
                </c:pt>
                <c:pt idx="7">
                  <c:v>0.15340909090909091</c:v>
                </c:pt>
                <c:pt idx="8">
                  <c:v>0.15340909090909091</c:v>
                </c:pt>
                <c:pt idx="9">
                  <c:v>0.15340909090909091</c:v>
                </c:pt>
                <c:pt idx="10">
                  <c:v>0.15340909090909091</c:v>
                </c:pt>
                <c:pt idx="11">
                  <c:v>0.15340909090909091</c:v>
                </c:pt>
                <c:pt idx="12">
                  <c:v>0.15340909090909091</c:v>
                </c:pt>
                <c:pt idx="13">
                  <c:v>0.15340909090909091</c:v>
                </c:pt>
                <c:pt idx="14">
                  <c:v>0.15340909090909091</c:v>
                </c:pt>
                <c:pt idx="15">
                  <c:v>0.15340909090909091</c:v>
                </c:pt>
                <c:pt idx="16">
                  <c:v>0.15340909090909091</c:v>
                </c:pt>
                <c:pt idx="17">
                  <c:v>0.15340909090909091</c:v>
                </c:pt>
                <c:pt idx="18">
                  <c:v>0.15340909090909091</c:v>
                </c:pt>
                <c:pt idx="19">
                  <c:v>0.15340909090909091</c:v>
                </c:pt>
                <c:pt idx="20">
                  <c:v>0.15340909090909091</c:v>
                </c:pt>
                <c:pt idx="21">
                  <c:v>0.15340909090909091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87-4089-AC21-AC86196ED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9AB-4F99-83DB-6C26A532BD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AB-4F99-83DB-6C26A532B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9AB-4F99-83DB-6C26A532BD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AB-4F99-83DB-6C26A532B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'07'!$L$6:$L$27</c:f>
              <c:numCache>
                <c:formatCode>_(* #,##0_);_(* \(#,##0\);_(* "-"_);_(@_)</c:formatCode>
                <c:ptCount val="22"/>
                <c:pt idx="1">
                  <c:v>8390</c:v>
                </c:pt>
                <c:pt idx="2">
                  <c:v>11086</c:v>
                </c:pt>
                <c:pt idx="3">
                  <c:v>9278</c:v>
                </c:pt>
                <c:pt idx="4">
                  <c:v>11176</c:v>
                </c:pt>
                <c:pt idx="6">
                  <c:v>3842</c:v>
                </c:pt>
                <c:pt idx="7">
                  <c:v>25404</c:v>
                </c:pt>
                <c:pt idx="8">
                  <c:v>610</c:v>
                </c:pt>
                <c:pt idx="12">
                  <c:v>1611</c:v>
                </c:pt>
                <c:pt idx="14">
                  <c:v>13958</c:v>
                </c:pt>
                <c:pt idx="15">
                  <c:v>54396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B-4CB2-9C35-ADD48448A033}"/>
            </c:ext>
          </c:extLst>
        </c:ser>
        <c:ser>
          <c:idx val="1"/>
          <c:order val="1"/>
          <c:tx>
            <c:v>계획</c:v>
          </c:tx>
          <c:cat>
            <c:strRef>
              <c:f>'07'!$D$6:$D$27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'07'!$J$6:$J$27</c:f>
              <c:numCache>
                <c:formatCode>_(* #,##0_);_(* \(#,##0\);_(* "-"_);_(@_)</c:formatCode>
                <c:ptCount val="22"/>
                <c:pt idx="0">
                  <c:v>4120</c:v>
                </c:pt>
                <c:pt idx="1">
                  <c:v>8390</c:v>
                </c:pt>
                <c:pt idx="2">
                  <c:v>11086</c:v>
                </c:pt>
                <c:pt idx="3">
                  <c:v>9278</c:v>
                </c:pt>
                <c:pt idx="4">
                  <c:v>11176</c:v>
                </c:pt>
                <c:pt idx="5">
                  <c:v>4302</c:v>
                </c:pt>
                <c:pt idx="6">
                  <c:v>3842</c:v>
                </c:pt>
                <c:pt idx="7">
                  <c:v>25404</c:v>
                </c:pt>
                <c:pt idx="8">
                  <c:v>610</c:v>
                </c:pt>
                <c:pt idx="9">
                  <c:v>26300</c:v>
                </c:pt>
                <c:pt idx="10">
                  <c:v>1142</c:v>
                </c:pt>
                <c:pt idx="11">
                  <c:v>28200</c:v>
                </c:pt>
                <c:pt idx="12">
                  <c:v>1611</c:v>
                </c:pt>
                <c:pt idx="13">
                  <c:v>1170</c:v>
                </c:pt>
                <c:pt idx="14">
                  <c:v>13958</c:v>
                </c:pt>
                <c:pt idx="15">
                  <c:v>54396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B-4CB2-9C35-ADD48448A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'07'!$AD$6:$AD$27</c:f>
              <c:strCache>
                <c:ptCount val="22"/>
                <c:pt idx="0">
                  <c:v>0%</c:v>
                </c:pt>
                <c:pt idx="1">
                  <c:v>83%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0%</c:v>
                </c:pt>
                <c:pt idx="6">
                  <c:v>79%</c:v>
                </c:pt>
                <c:pt idx="7">
                  <c:v>100%</c:v>
                </c:pt>
                <c:pt idx="8">
                  <c:v>42%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0%</c:v>
                </c:pt>
                <c:pt idx="14">
                  <c:v>71%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'07'!$AD$6:$AD$27</c:f>
              <c:numCache>
                <c:formatCode>0%</c:formatCode>
                <c:ptCount val="22"/>
                <c:pt idx="0">
                  <c:v>0</c:v>
                </c:pt>
                <c:pt idx="1">
                  <c:v>0.83333333333333337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0</c:v>
                </c:pt>
                <c:pt idx="6">
                  <c:v>0.79166666666666663</c:v>
                </c:pt>
                <c:pt idx="7">
                  <c:v>1</c:v>
                </c:pt>
                <c:pt idx="8">
                  <c:v>0.41666666666666669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</c:v>
                </c:pt>
                <c:pt idx="14">
                  <c:v>0.70833333333333337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4-478A-945B-DDA0BDAE8E1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F4-478A-945B-DDA0BDAE8E1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'07'!$AE$6:$AE$27</c:f>
              <c:numCache>
                <c:formatCode>0%</c:formatCode>
                <c:ptCount val="22"/>
                <c:pt idx="0">
                  <c:v>0.3503787878787879</c:v>
                </c:pt>
                <c:pt idx="1">
                  <c:v>0.3503787878787879</c:v>
                </c:pt>
                <c:pt idx="2">
                  <c:v>0.3503787878787879</c:v>
                </c:pt>
                <c:pt idx="3">
                  <c:v>0.3503787878787879</c:v>
                </c:pt>
                <c:pt idx="4">
                  <c:v>0.3503787878787879</c:v>
                </c:pt>
                <c:pt idx="5">
                  <c:v>0.3503787878787879</c:v>
                </c:pt>
                <c:pt idx="6">
                  <c:v>0.3503787878787879</c:v>
                </c:pt>
                <c:pt idx="7">
                  <c:v>0.3503787878787879</c:v>
                </c:pt>
                <c:pt idx="8">
                  <c:v>0.3503787878787879</c:v>
                </c:pt>
                <c:pt idx="9">
                  <c:v>0.3503787878787879</c:v>
                </c:pt>
                <c:pt idx="10">
                  <c:v>0.3503787878787879</c:v>
                </c:pt>
                <c:pt idx="11">
                  <c:v>0.3503787878787879</c:v>
                </c:pt>
                <c:pt idx="12">
                  <c:v>0.3503787878787879</c:v>
                </c:pt>
                <c:pt idx="13">
                  <c:v>0.3503787878787879</c:v>
                </c:pt>
                <c:pt idx="14">
                  <c:v>0.3503787878787879</c:v>
                </c:pt>
                <c:pt idx="15">
                  <c:v>0.3503787878787879</c:v>
                </c:pt>
                <c:pt idx="16">
                  <c:v>0.3503787878787879</c:v>
                </c:pt>
                <c:pt idx="17">
                  <c:v>0.3503787878787879</c:v>
                </c:pt>
                <c:pt idx="18">
                  <c:v>0.3503787878787879</c:v>
                </c:pt>
                <c:pt idx="19">
                  <c:v>0.3503787878787879</c:v>
                </c:pt>
                <c:pt idx="20">
                  <c:v>0.3503787878787879</c:v>
                </c:pt>
                <c:pt idx="21">
                  <c:v>0.3503787878787879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F4-478A-945B-DDA0BDAE8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'07'!$L$6:$L$27</c:f>
              <c:numCache>
                <c:formatCode>_(* #,##0_);_(* \(#,##0\);_(* "-"_);_(@_)</c:formatCode>
                <c:ptCount val="22"/>
                <c:pt idx="1">
                  <c:v>8390</c:v>
                </c:pt>
                <c:pt idx="2">
                  <c:v>11086</c:v>
                </c:pt>
                <c:pt idx="3">
                  <c:v>9278</c:v>
                </c:pt>
                <c:pt idx="4">
                  <c:v>11176</c:v>
                </c:pt>
                <c:pt idx="6">
                  <c:v>3842</c:v>
                </c:pt>
                <c:pt idx="7">
                  <c:v>25404</c:v>
                </c:pt>
                <c:pt idx="8">
                  <c:v>610</c:v>
                </c:pt>
                <c:pt idx="12">
                  <c:v>1611</c:v>
                </c:pt>
                <c:pt idx="14">
                  <c:v>13958</c:v>
                </c:pt>
                <c:pt idx="15">
                  <c:v>54396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4B-42B7-AFA2-6DEB399A061E}"/>
            </c:ext>
          </c:extLst>
        </c:ser>
        <c:ser>
          <c:idx val="1"/>
          <c:order val="1"/>
          <c:tx>
            <c:v>계획</c:v>
          </c:tx>
          <c:cat>
            <c:strRef>
              <c:f>'07'!$D$6:$D$27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'07'!$J$6:$J$27</c:f>
              <c:numCache>
                <c:formatCode>_(* #,##0_);_(* \(#,##0\);_(* "-"_);_(@_)</c:formatCode>
                <c:ptCount val="22"/>
                <c:pt idx="0">
                  <c:v>4120</c:v>
                </c:pt>
                <c:pt idx="1">
                  <c:v>8390</c:v>
                </c:pt>
                <c:pt idx="2">
                  <c:v>11086</c:v>
                </c:pt>
                <c:pt idx="3">
                  <c:v>9278</c:v>
                </c:pt>
                <c:pt idx="4">
                  <c:v>11176</c:v>
                </c:pt>
                <c:pt idx="5">
                  <c:v>4302</c:v>
                </c:pt>
                <c:pt idx="6">
                  <c:v>3842</c:v>
                </c:pt>
                <c:pt idx="7">
                  <c:v>25404</c:v>
                </c:pt>
                <c:pt idx="8">
                  <c:v>610</c:v>
                </c:pt>
                <c:pt idx="9">
                  <c:v>26300</c:v>
                </c:pt>
                <c:pt idx="10">
                  <c:v>1142</c:v>
                </c:pt>
                <c:pt idx="11">
                  <c:v>28200</c:v>
                </c:pt>
                <c:pt idx="12">
                  <c:v>1611</c:v>
                </c:pt>
                <c:pt idx="13">
                  <c:v>1170</c:v>
                </c:pt>
                <c:pt idx="14">
                  <c:v>13958</c:v>
                </c:pt>
                <c:pt idx="15">
                  <c:v>54396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4B-42B7-AFA2-6DEB399A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'07'!$AD$6:$AD$27</c:f>
              <c:strCache>
                <c:ptCount val="22"/>
                <c:pt idx="0">
                  <c:v>0%</c:v>
                </c:pt>
                <c:pt idx="1">
                  <c:v>83%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0%</c:v>
                </c:pt>
                <c:pt idx="6">
                  <c:v>79%</c:v>
                </c:pt>
                <c:pt idx="7">
                  <c:v>100%</c:v>
                </c:pt>
                <c:pt idx="8">
                  <c:v>42%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0%</c:v>
                </c:pt>
                <c:pt idx="14">
                  <c:v>71%</c:v>
                </c:pt>
                <c:pt idx="15">
                  <c:v>92%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'07'!$AD$6:$AD$27</c:f>
              <c:numCache>
                <c:formatCode>0%</c:formatCode>
                <c:ptCount val="22"/>
                <c:pt idx="0">
                  <c:v>0</c:v>
                </c:pt>
                <c:pt idx="1">
                  <c:v>0.83333333333333337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0</c:v>
                </c:pt>
                <c:pt idx="6">
                  <c:v>0.79166666666666663</c:v>
                </c:pt>
                <c:pt idx="7">
                  <c:v>1</c:v>
                </c:pt>
                <c:pt idx="8">
                  <c:v>0.41666666666666669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</c:v>
                </c:pt>
                <c:pt idx="14">
                  <c:v>0.70833333333333337</c:v>
                </c:pt>
                <c:pt idx="15">
                  <c:v>0.91666666666666663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FB-4DC2-A3DA-42652080F40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FB-4DC2-A3DA-42652080F40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'07'!$AE$6:$AE$27</c:f>
              <c:numCache>
                <c:formatCode>0%</c:formatCode>
                <c:ptCount val="22"/>
                <c:pt idx="0">
                  <c:v>0.3503787878787879</c:v>
                </c:pt>
                <c:pt idx="1">
                  <c:v>0.3503787878787879</c:v>
                </c:pt>
                <c:pt idx="2">
                  <c:v>0.3503787878787879</c:v>
                </c:pt>
                <c:pt idx="3">
                  <c:v>0.3503787878787879</c:v>
                </c:pt>
                <c:pt idx="4">
                  <c:v>0.3503787878787879</c:v>
                </c:pt>
                <c:pt idx="5">
                  <c:v>0.3503787878787879</c:v>
                </c:pt>
                <c:pt idx="6">
                  <c:v>0.3503787878787879</c:v>
                </c:pt>
                <c:pt idx="7">
                  <c:v>0.3503787878787879</c:v>
                </c:pt>
                <c:pt idx="8">
                  <c:v>0.3503787878787879</c:v>
                </c:pt>
                <c:pt idx="9">
                  <c:v>0.3503787878787879</c:v>
                </c:pt>
                <c:pt idx="10">
                  <c:v>0.3503787878787879</c:v>
                </c:pt>
                <c:pt idx="11">
                  <c:v>0.3503787878787879</c:v>
                </c:pt>
                <c:pt idx="12">
                  <c:v>0.3503787878787879</c:v>
                </c:pt>
                <c:pt idx="13">
                  <c:v>0.3503787878787879</c:v>
                </c:pt>
                <c:pt idx="14">
                  <c:v>0.3503787878787879</c:v>
                </c:pt>
                <c:pt idx="15">
                  <c:v>0.3503787878787879</c:v>
                </c:pt>
                <c:pt idx="16">
                  <c:v>0.3503787878787879</c:v>
                </c:pt>
                <c:pt idx="17">
                  <c:v>0.3503787878787879</c:v>
                </c:pt>
                <c:pt idx="18">
                  <c:v>0.3503787878787879</c:v>
                </c:pt>
                <c:pt idx="19">
                  <c:v>0.3503787878787879</c:v>
                </c:pt>
                <c:pt idx="20">
                  <c:v>0.3503787878787879</c:v>
                </c:pt>
                <c:pt idx="21">
                  <c:v>0.3503787878787879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FB-4DC2-A3DA-42652080F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97A-4CD9-A105-478E5B05C6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7A-4CD9-A105-478E5B05C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97A-4CD9-A105-478E5B05C6B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7A-4CD9-A105-478E5B05C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'08'!$D$6:$D$27</c:f>
              <c:strCache>
                <c:ptCount val="21"/>
                <c:pt idx="0">
                  <c:v>FLOATING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'08'!$L$6:$L$27</c:f>
              <c:numCache>
                <c:formatCode>_(* #,##0_);_(* \(#,##0\);_(* "-"_);_(@_)</c:formatCode>
                <c:ptCount val="22"/>
                <c:pt idx="0">
                  <c:v>3699</c:v>
                </c:pt>
                <c:pt idx="1">
                  <c:v>12796</c:v>
                </c:pt>
                <c:pt idx="2">
                  <c:v>11698</c:v>
                </c:pt>
                <c:pt idx="3">
                  <c:v>12614</c:v>
                </c:pt>
                <c:pt idx="4">
                  <c:v>13572</c:v>
                </c:pt>
                <c:pt idx="5">
                  <c:v>7988</c:v>
                </c:pt>
                <c:pt idx="6">
                  <c:v>4425</c:v>
                </c:pt>
                <c:pt idx="7">
                  <c:v>20780</c:v>
                </c:pt>
                <c:pt idx="8">
                  <c:v>100</c:v>
                </c:pt>
                <c:pt idx="13">
                  <c:v>4596</c:v>
                </c:pt>
                <c:pt idx="14">
                  <c:v>8440</c:v>
                </c:pt>
                <c:pt idx="15">
                  <c:v>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C7-4967-A7FE-8360C625B35D}"/>
            </c:ext>
          </c:extLst>
        </c:ser>
        <c:ser>
          <c:idx val="1"/>
          <c:order val="1"/>
          <c:tx>
            <c:v>계획</c:v>
          </c:tx>
          <c:cat>
            <c:strRef>
              <c:f>'08'!$D$6:$D$27</c:f>
              <c:strCache>
                <c:ptCount val="21"/>
                <c:pt idx="0">
                  <c:v>FLOATING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'08'!$J$6:$J$27</c:f>
              <c:numCache>
                <c:formatCode>_(* #,##0_);_(* \(#,##0\);_(* "-"_);_(@_)</c:formatCode>
                <c:ptCount val="22"/>
                <c:pt idx="0">
                  <c:v>3699</c:v>
                </c:pt>
                <c:pt idx="1">
                  <c:v>12796</c:v>
                </c:pt>
                <c:pt idx="2">
                  <c:v>11698</c:v>
                </c:pt>
                <c:pt idx="3">
                  <c:v>12614</c:v>
                </c:pt>
                <c:pt idx="4">
                  <c:v>13572</c:v>
                </c:pt>
                <c:pt idx="5">
                  <c:v>7988</c:v>
                </c:pt>
                <c:pt idx="6">
                  <c:v>4425</c:v>
                </c:pt>
                <c:pt idx="7">
                  <c:v>20780</c:v>
                </c:pt>
                <c:pt idx="8">
                  <c:v>100</c:v>
                </c:pt>
                <c:pt idx="9">
                  <c:v>26300</c:v>
                </c:pt>
                <c:pt idx="10">
                  <c:v>1142</c:v>
                </c:pt>
                <c:pt idx="11">
                  <c:v>28200</c:v>
                </c:pt>
                <c:pt idx="12">
                  <c:v>1611</c:v>
                </c:pt>
                <c:pt idx="13">
                  <c:v>4596</c:v>
                </c:pt>
                <c:pt idx="14">
                  <c:v>8440</c:v>
                </c:pt>
                <c:pt idx="15">
                  <c:v>62000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C7-4967-A7FE-8360C625B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'08'!$AD$6:$AD$27</c:f>
              <c:strCache>
                <c:ptCount val="22"/>
                <c:pt idx="0">
                  <c:v>75%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75%</c:v>
                </c:pt>
                <c:pt idx="6">
                  <c:v>88%</c:v>
                </c:pt>
                <c:pt idx="7">
                  <c:v>83%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88%</c:v>
                </c:pt>
                <c:pt idx="14">
                  <c:v>38%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'08'!$D$6:$D$27</c:f>
              <c:strCache>
                <c:ptCount val="21"/>
                <c:pt idx="0">
                  <c:v>FLOATING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'08'!$AD$6:$AD$27</c:f>
              <c:numCache>
                <c:formatCode>0%</c:formatCode>
                <c:ptCount val="22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0.875</c:v>
                </c:pt>
                <c:pt idx="7">
                  <c:v>0.83333333333333337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0.875</c:v>
                </c:pt>
                <c:pt idx="14">
                  <c:v>0.375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A-42DF-9F51-80EFDF5EA54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40A-42DF-9F51-80EFDF5EA54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'08'!$D$6:$D$27</c:f>
              <c:strCache>
                <c:ptCount val="21"/>
                <c:pt idx="0">
                  <c:v>FLOATING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'08'!$AE$6:$AE$27</c:f>
              <c:numCache>
                <c:formatCode>0%</c:formatCode>
                <c:ptCount val="22"/>
                <c:pt idx="0">
                  <c:v>0.4375</c:v>
                </c:pt>
                <c:pt idx="1">
                  <c:v>0.4375</c:v>
                </c:pt>
                <c:pt idx="2">
                  <c:v>0.4375</c:v>
                </c:pt>
                <c:pt idx="3">
                  <c:v>0.4375</c:v>
                </c:pt>
                <c:pt idx="4">
                  <c:v>0.4375</c:v>
                </c:pt>
                <c:pt idx="5">
                  <c:v>0.4375</c:v>
                </c:pt>
                <c:pt idx="6">
                  <c:v>0.4375</c:v>
                </c:pt>
                <c:pt idx="7">
                  <c:v>0.4375</c:v>
                </c:pt>
                <c:pt idx="8">
                  <c:v>0.4375</c:v>
                </c:pt>
                <c:pt idx="9">
                  <c:v>0.4375</c:v>
                </c:pt>
                <c:pt idx="10">
                  <c:v>0.4375</c:v>
                </c:pt>
                <c:pt idx="11">
                  <c:v>0.4375</c:v>
                </c:pt>
                <c:pt idx="12">
                  <c:v>0.4375</c:v>
                </c:pt>
                <c:pt idx="13">
                  <c:v>0.4375</c:v>
                </c:pt>
                <c:pt idx="14">
                  <c:v>0.4375</c:v>
                </c:pt>
                <c:pt idx="15">
                  <c:v>0.4375</c:v>
                </c:pt>
                <c:pt idx="16">
                  <c:v>0.4375</c:v>
                </c:pt>
                <c:pt idx="17">
                  <c:v>0.4375</c:v>
                </c:pt>
                <c:pt idx="18">
                  <c:v>0.4375</c:v>
                </c:pt>
                <c:pt idx="19">
                  <c:v>0.4375</c:v>
                </c:pt>
                <c:pt idx="20">
                  <c:v>0.4375</c:v>
                </c:pt>
                <c:pt idx="21">
                  <c:v>0.4375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0A-42DF-9F51-80EFDF5EA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'08'!$D$6:$D$27</c:f>
              <c:strCache>
                <c:ptCount val="21"/>
                <c:pt idx="0">
                  <c:v>FLOATING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'08'!$L$6:$L$27</c:f>
              <c:numCache>
                <c:formatCode>_(* #,##0_);_(* \(#,##0\);_(* "-"_);_(@_)</c:formatCode>
                <c:ptCount val="22"/>
                <c:pt idx="0">
                  <c:v>3699</c:v>
                </c:pt>
                <c:pt idx="1">
                  <c:v>12796</c:v>
                </c:pt>
                <c:pt idx="2">
                  <c:v>11698</c:v>
                </c:pt>
                <c:pt idx="3">
                  <c:v>12614</c:v>
                </c:pt>
                <c:pt idx="4">
                  <c:v>13572</c:v>
                </c:pt>
                <c:pt idx="5">
                  <c:v>7988</c:v>
                </c:pt>
                <c:pt idx="6">
                  <c:v>4425</c:v>
                </c:pt>
                <c:pt idx="7">
                  <c:v>20780</c:v>
                </c:pt>
                <c:pt idx="8">
                  <c:v>100</c:v>
                </c:pt>
                <c:pt idx="13">
                  <c:v>4596</c:v>
                </c:pt>
                <c:pt idx="14">
                  <c:v>8440</c:v>
                </c:pt>
                <c:pt idx="15">
                  <c:v>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C6-4F54-8C8D-147A9F2F0A04}"/>
            </c:ext>
          </c:extLst>
        </c:ser>
        <c:ser>
          <c:idx val="1"/>
          <c:order val="1"/>
          <c:tx>
            <c:v>계획</c:v>
          </c:tx>
          <c:cat>
            <c:strRef>
              <c:f>'08'!$D$6:$D$27</c:f>
              <c:strCache>
                <c:ptCount val="21"/>
                <c:pt idx="0">
                  <c:v>FLOATING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'08'!$J$6:$J$27</c:f>
              <c:numCache>
                <c:formatCode>_(* #,##0_);_(* \(#,##0\);_(* "-"_);_(@_)</c:formatCode>
                <c:ptCount val="22"/>
                <c:pt idx="0">
                  <c:v>3699</c:v>
                </c:pt>
                <c:pt idx="1">
                  <c:v>12796</c:v>
                </c:pt>
                <c:pt idx="2">
                  <c:v>11698</c:v>
                </c:pt>
                <c:pt idx="3">
                  <c:v>12614</c:v>
                </c:pt>
                <c:pt idx="4">
                  <c:v>13572</c:v>
                </c:pt>
                <c:pt idx="5">
                  <c:v>7988</c:v>
                </c:pt>
                <c:pt idx="6">
                  <c:v>4425</c:v>
                </c:pt>
                <c:pt idx="7">
                  <c:v>20780</c:v>
                </c:pt>
                <c:pt idx="8">
                  <c:v>100</c:v>
                </c:pt>
                <c:pt idx="9">
                  <c:v>26300</c:v>
                </c:pt>
                <c:pt idx="10">
                  <c:v>1142</c:v>
                </c:pt>
                <c:pt idx="11">
                  <c:v>28200</c:v>
                </c:pt>
                <c:pt idx="12">
                  <c:v>1611</c:v>
                </c:pt>
                <c:pt idx="13">
                  <c:v>4596</c:v>
                </c:pt>
                <c:pt idx="14">
                  <c:v>8440</c:v>
                </c:pt>
                <c:pt idx="15">
                  <c:v>62000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199470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C6-4F54-8C8D-147A9F2F0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'08'!$AD$6:$AD$27</c:f>
              <c:strCache>
                <c:ptCount val="22"/>
                <c:pt idx="0">
                  <c:v>75%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75%</c:v>
                </c:pt>
                <c:pt idx="6">
                  <c:v>88%</c:v>
                </c:pt>
                <c:pt idx="7">
                  <c:v>83%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88%</c:v>
                </c:pt>
                <c:pt idx="14">
                  <c:v>38%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'08'!$D$6:$D$27</c:f>
              <c:strCache>
                <c:ptCount val="21"/>
                <c:pt idx="0">
                  <c:v>FLOATING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'08'!$AD$6:$AD$27</c:f>
              <c:numCache>
                <c:formatCode>0%</c:formatCode>
                <c:ptCount val="22"/>
                <c:pt idx="0">
                  <c:v>0.75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0.875</c:v>
                </c:pt>
                <c:pt idx="7">
                  <c:v>0.83333333333333337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0.875</c:v>
                </c:pt>
                <c:pt idx="14">
                  <c:v>0.375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6A-4379-8CD1-AA048CD7288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6A-4379-8CD1-AA048CD728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'08'!$D$6:$D$27</c:f>
              <c:strCache>
                <c:ptCount val="21"/>
                <c:pt idx="0">
                  <c:v>FLOATING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TOP/BOTTOM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'08'!$AE$6:$AE$27</c:f>
              <c:numCache>
                <c:formatCode>0%</c:formatCode>
                <c:ptCount val="22"/>
                <c:pt idx="0">
                  <c:v>0.4375</c:v>
                </c:pt>
                <c:pt idx="1">
                  <c:v>0.4375</c:v>
                </c:pt>
                <c:pt idx="2">
                  <c:v>0.4375</c:v>
                </c:pt>
                <c:pt idx="3">
                  <c:v>0.4375</c:v>
                </c:pt>
                <c:pt idx="4">
                  <c:v>0.4375</c:v>
                </c:pt>
                <c:pt idx="5">
                  <c:v>0.4375</c:v>
                </c:pt>
                <c:pt idx="6">
                  <c:v>0.4375</c:v>
                </c:pt>
                <c:pt idx="7">
                  <c:v>0.4375</c:v>
                </c:pt>
                <c:pt idx="8">
                  <c:v>0.4375</c:v>
                </c:pt>
                <c:pt idx="9">
                  <c:v>0.4375</c:v>
                </c:pt>
                <c:pt idx="10">
                  <c:v>0.4375</c:v>
                </c:pt>
                <c:pt idx="11">
                  <c:v>0.4375</c:v>
                </c:pt>
                <c:pt idx="12">
                  <c:v>0.4375</c:v>
                </c:pt>
                <c:pt idx="13">
                  <c:v>0.4375</c:v>
                </c:pt>
                <c:pt idx="14">
                  <c:v>0.4375</c:v>
                </c:pt>
                <c:pt idx="15">
                  <c:v>0.4375</c:v>
                </c:pt>
                <c:pt idx="16">
                  <c:v>0.4375</c:v>
                </c:pt>
                <c:pt idx="17">
                  <c:v>0.4375</c:v>
                </c:pt>
                <c:pt idx="18">
                  <c:v>0.4375</c:v>
                </c:pt>
                <c:pt idx="19">
                  <c:v>0.4375</c:v>
                </c:pt>
                <c:pt idx="20">
                  <c:v>0.4375</c:v>
                </c:pt>
                <c:pt idx="21">
                  <c:v>0.4375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6A-4379-8CD1-AA048CD72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F5A-47AF-8620-DA043C5799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A-47AF-8620-DA043C579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F5A-47AF-8620-DA043C5799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5A-47AF-8620-DA043C579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'09'!$L$6:$L$27</c:f>
              <c:numCache>
                <c:formatCode>_(* #,##0_);_(* \(#,##0\);_(* "-"_);_(@_)</c:formatCode>
                <c:ptCount val="22"/>
                <c:pt idx="0">
                  <c:v>5753</c:v>
                </c:pt>
                <c:pt idx="1">
                  <c:v>12772</c:v>
                </c:pt>
                <c:pt idx="2">
                  <c:v>11644</c:v>
                </c:pt>
                <c:pt idx="3">
                  <c:v>12560</c:v>
                </c:pt>
                <c:pt idx="4">
                  <c:v>8552</c:v>
                </c:pt>
                <c:pt idx="5">
                  <c:v>5190</c:v>
                </c:pt>
                <c:pt idx="6">
                  <c:v>5022</c:v>
                </c:pt>
                <c:pt idx="7">
                  <c:v>26076</c:v>
                </c:pt>
                <c:pt idx="10">
                  <c:v>2613</c:v>
                </c:pt>
                <c:pt idx="12">
                  <c:v>5571</c:v>
                </c:pt>
                <c:pt idx="13">
                  <c:v>5705</c:v>
                </c:pt>
                <c:pt idx="14">
                  <c:v>18763</c:v>
                </c:pt>
                <c:pt idx="15">
                  <c:v>61828</c:v>
                </c:pt>
                <c:pt idx="21">
                  <c:v>396032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87-458A-B7FE-7D268DFA77F1}"/>
            </c:ext>
          </c:extLst>
        </c:ser>
        <c:ser>
          <c:idx val="1"/>
          <c:order val="1"/>
          <c:tx>
            <c:v>계획</c:v>
          </c:tx>
          <c:cat>
            <c:strRef>
              <c:f>'09'!$D$6:$D$27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'09'!$J$6:$J$27</c:f>
              <c:numCache>
                <c:formatCode>_(* #,##0_);_(* \(#,##0\);_(* "-"_);_(@_)</c:formatCode>
                <c:ptCount val="22"/>
                <c:pt idx="0">
                  <c:v>5753</c:v>
                </c:pt>
                <c:pt idx="1">
                  <c:v>12772</c:v>
                </c:pt>
                <c:pt idx="2">
                  <c:v>11644</c:v>
                </c:pt>
                <c:pt idx="3">
                  <c:v>12560</c:v>
                </c:pt>
                <c:pt idx="4">
                  <c:v>8552</c:v>
                </c:pt>
                <c:pt idx="5">
                  <c:v>5190</c:v>
                </c:pt>
                <c:pt idx="6">
                  <c:v>5022</c:v>
                </c:pt>
                <c:pt idx="7">
                  <c:v>26076</c:v>
                </c:pt>
                <c:pt idx="8">
                  <c:v>100</c:v>
                </c:pt>
                <c:pt idx="9">
                  <c:v>26300</c:v>
                </c:pt>
                <c:pt idx="10">
                  <c:v>2613</c:v>
                </c:pt>
                <c:pt idx="11">
                  <c:v>28200</c:v>
                </c:pt>
                <c:pt idx="12">
                  <c:v>5571</c:v>
                </c:pt>
                <c:pt idx="13">
                  <c:v>5705</c:v>
                </c:pt>
                <c:pt idx="14">
                  <c:v>18763</c:v>
                </c:pt>
                <c:pt idx="15">
                  <c:v>61828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396032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87-458A-B7FE-7D268DFA7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'09'!$AD$6:$AD$27</c:f>
              <c:strCache>
                <c:ptCount val="22"/>
                <c:pt idx="0">
                  <c:v>100%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42%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54%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83%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'09'!$AD$6:$AD$27</c:f>
              <c:numCache>
                <c:formatCode>0%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0.41666666666666669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0.54166666666666663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0.83333333333333337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5-45C8-BE3F-701FA82BEC0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265-45C8-BE3F-701FA82BEC0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'09'!$AE$6:$AE$27</c:f>
              <c:numCache>
                <c:formatCode>0%</c:formatCode>
                <c:ptCount val="22"/>
                <c:pt idx="0">
                  <c:v>0.57386363636363646</c:v>
                </c:pt>
                <c:pt idx="1">
                  <c:v>0.57386363636363646</c:v>
                </c:pt>
                <c:pt idx="2">
                  <c:v>0.57386363636363646</c:v>
                </c:pt>
                <c:pt idx="3">
                  <c:v>0.57386363636363646</c:v>
                </c:pt>
                <c:pt idx="4">
                  <c:v>0.57386363636363646</c:v>
                </c:pt>
                <c:pt idx="5">
                  <c:v>0.57386363636363646</c:v>
                </c:pt>
                <c:pt idx="6">
                  <c:v>0.57386363636363646</c:v>
                </c:pt>
                <c:pt idx="7">
                  <c:v>0.57386363636363646</c:v>
                </c:pt>
                <c:pt idx="8">
                  <c:v>0.57386363636363646</c:v>
                </c:pt>
                <c:pt idx="9">
                  <c:v>0.57386363636363646</c:v>
                </c:pt>
                <c:pt idx="10">
                  <c:v>0.57386363636363646</c:v>
                </c:pt>
                <c:pt idx="11">
                  <c:v>0.57386363636363646</c:v>
                </c:pt>
                <c:pt idx="12">
                  <c:v>0.57386363636363646</c:v>
                </c:pt>
                <c:pt idx="13">
                  <c:v>0.57386363636363646</c:v>
                </c:pt>
                <c:pt idx="14">
                  <c:v>0.57386363636363646</c:v>
                </c:pt>
                <c:pt idx="15">
                  <c:v>0.57386363636363646</c:v>
                </c:pt>
                <c:pt idx="16">
                  <c:v>0.57386363636363646</c:v>
                </c:pt>
                <c:pt idx="17">
                  <c:v>0.57386363636363646</c:v>
                </c:pt>
                <c:pt idx="18">
                  <c:v>0.57386363636363646</c:v>
                </c:pt>
                <c:pt idx="19">
                  <c:v>0.57386363636363646</c:v>
                </c:pt>
                <c:pt idx="20">
                  <c:v>0.57386363636363646</c:v>
                </c:pt>
                <c:pt idx="21">
                  <c:v>0.57386363636363646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65-45C8-BE3F-701FA82BE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'09'!$L$6:$L$27</c:f>
              <c:numCache>
                <c:formatCode>_(* #,##0_);_(* \(#,##0\);_(* "-"_);_(@_)</c:formatCode>
                <c:ptCount val="22"/>
                <c:pt idx="0">
                  <c:v>5753</c:v>
                </c:pt>
                <c:pt idx="1">
                  <c:v>12772</c:v>
                </c:pt>
                <c:pt idx="2">
                  <c:v>11644</c:v>
                </c:pt>
                <c:pt idx="3">
                  <c:v>12560</c:v>
                </c:pt>
                <c:pt idx="4">
                  <c:v>8552</c:v>
                </c:pt>
                <c:pt idx="5">
                  <c:v>5190</c:v>
                </c:pt>
                <c:pt idx="6">
                  <c:v>5022</c:v>
                </c:pt>
                <c:pt idx="7">
                  <c:v>26076</c:v>
                </c:pt>
                <c:pt idx="10">
                  <c:v>2613</c:v>
                </c:pt>
                <c:pt idx="12">
                  <c:v>5571</c:v>
                </c:pt>
                <c:pt idx="13">
                  <c:v>5705</c:v>
                </c:pt>
                <c:pt idx="14">
                  <c:v>18763</c:v>
                </c:pt>
                <c:pt idx="15">
                  <c:v>61828</c:v>
                </c:pt>
                <c:pt idx="21">
                  <c:v>396032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0F-4808-8B59-269BA2C7FBB2}"/>
            </c:ext>
          </c:extLst>
        </c:ser>
        <c:ser>
          <c:idx val="1"/>
          <c:order val="1"/>
          <c:tx>
            <c:v>계획</c:v>
          </c:tx>
          <c:cat>
            <c:strRef>
              <c:f>'09'!$D$6:$D$27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'09'!$J$6:$J$27</c:f>
              <c:numCache>
                <c:formatCode>_(* #,##0_);_(* \(#,##0\);_(* "-"_);_(@_)</c:formatCode>
                <c:ptCount val="22"/>
                <c:pt idx="0">
                  <c:v>5753</c:v>
                </c:pt>
                <c:pt idx="1">
                  <c:v>12772</c:v>
                </c:pt>
                <c:pt idx="2">
                  <c:v>11644</c:v>
                </c:pt>
                <c:pt idx="3">
                  <c:v>12560</c:v>
                </c:pt>
                <c:pt idx="4">
                  <c:v>8552</c:v>
                </c:pt>
                <c:pt idx="5">
                  <c:v>5190</c:v>
                </c:pt>
                <c:pt idx="6">
                  <c:v>5022</c:v>
                </c:pt>
                <c:pt idx="7">
                  <c:v>26076</c:v>
                </c:pt>
                <c:pt idx="8">
                  <c:v>100</c:v>
                </c:pt>
                <c:pt idx="9">
                  <c:v>26300</c:v>
                </c:pt>
                <c:pt idx="10">
                  <c:v>2613</c:v>
                </c:pt>
                <c:pt idx="11">
                  <c:v>28200</c:v>
                </c:pt>
                <c:pt idx="12">
                  <c:v>5571</c:v>
                </c:pt>
                <c:pt idx="13">
                  <c:v>5705</c:v>
                </c:pt>
                <c:pt idx="14">
                  <c:v>18763</c:v>
                </c:pt>
                <c:pt idx="15">
                  <c:v>61828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396032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0F-4808-8B59-269BA2C7F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'09'!$AD$6:$AD$27</c:f>
              <c:strCache>
                <c:ptCount val="22"/>
                <c:pt idx="0">
                  <c:v>100%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42%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54%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83%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'09'!$AD$6:$AD$27</c:f>
              <c:numCache>
                <c:formatCode>0%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0.41666666666666669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0.54166666666666663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0.83333333333333337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79-42A6-9C75-601FDBD9DAF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79-42A6-9C75-601FDBD9DAF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LATCH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'09'!$AE$6:$AE$27</c:f>
              <c:numCache>
                <c:formatCode>0%</c:formatCode>
                <c:ptCount val="22"/>
                <c:pt idx="0">
                  <c:v>0.57386363636363646</c:v>
                </c:pt>
                <c:pt idx="1">
                  <c:v>0.57386363636363646</c:v>
                </c:pt>
                <c:pt idx="2">
                  <c:v>0.57386363636363646</c:v>
                </c:pt>
                <c:pt idx="3">
                  <c:v>0.57386363636363646</c:v>
                </c:pt>
                <c:pt idx="4">
                  <c:v>0.57386363636363646</c:v>
                </c:pt>
                <c:pt idx="5">
                  <c:v>0.57386363636363646</c:v>
                </c:pt>
                <c:pt idx="6">
                  <c:v>0.57386363636363646</c:v>
                </c:pt>
                <c:pt idx="7">
                  <c:v>0.57386363636363646</c:v>
                </c:pt>
                <c:pt idx="8">
                  <c:v>0.57386363636363646</c:v>
                </c:pt>
                <c:pt idx="9">
                  <c:v>0.57386363636363646</c:v>
                </c:pt>
                <c:pt idx="10">
                  <c:v>0.57386363636363646</c:v>
                </c:pt>
                <c:pt idx="11">
                  <c:v>0.57386363636363646</c:v>
                </c:pt>
                <c:pt idx="12">
                  <c:v>0.57386363636363646</c:v>
                </c:pt>
                <c:pt idx="13">
                  <c:v>0.57386363636363646</c:v>
                </c:pt>
                <c:pt idx="14">
                  <c:v>0.57386363636363646</c:v>
                </c:pt>
                <c:pt idx="15">
                  <c:v>0.57386363636363646</c:v>
                </c:pt>
                <c:pt idx="16">
                  <c:v>0.57386363636363646</c:v>
                </c:pt>
                <c:pt idx="17">
                  <c:v>0.57386363636363646</c:v>
                </c:pt>
                <c:pt idx="18">
                  <c:v>0.57386363636363646</c:v>
                </c:pt>
                <c:pt idx="19">
                  <c:v>0.57386363636363646</c:v>
                </c:pt>
                <c:pt idx="20">
                  <c:v>0.57386363636363646</c:v>
                </c:pt>
                <c:pt idx="21">
                  <c:v>0.57386363636363646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79-42A6-9C75-601FDBD9D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14D-4D3D-A5FC-32779A211B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4D-4D3D-A5FC-32779A211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14D-4D3D-A5FC-32779A211B8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4D-4D3D-A5FC-32779A211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'10'!$D$6:$D$28</c:f>
              <c:strCache>
                <c:ptCount val="22"/>
                <c:pt idx="0">
                  <c:v>F/A</c:v>
                </c:pt>
                <c:pt idx="1">
                  <c:v>F/A</c:v>
                </c:pt>
                <c:pt idx="2">
                  <c:v>SLIDER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LOCKER/HINGE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'10'!$L$6:$L$28</c:f>
              <c:numCache>
                <c:formatCode>_(* #,##0_);_(* \(#,##0\);_(* "-"_);_(@_)</c:formatCode>
                <c:ptCount val="23"/>
                <c:pt idx="0">
                  <c:v>1225</c:v>
                </c:pt>
                <c:pt idx="1">
                  <c:v>2665</c:v>
                </c:pt>
                <c:pt idx="2">
                  <c:v>12708</c:v>
                </c:pt>
                <c:pt idx="3">
                  <c:v>7968</c:v>
                </c:pt>
                <c:pt idx="4">
                  <c:v>12426</c:v>
                </c:pt>
                <c:pt idx="5">
                  <c:v>12834</c:v>
                </c:pt>
                <c:pt idx="8">
                  <c:v>26112</c:v>
                </c:pt>
                <c:pt idx="11">
                  <c:v>4111</c:v>
                </c:pt>
                <c:pt idx="13">
                  <c:v>3113</c:v>
                </c:pt>
                <c:pt idx="14">
                  <c:v>1835</c:v>
                </c:pt>
                <c:pt idx="15">
                  <c:v>11805</c:v>
                </c:pt>
                <c:pt idx="16">
                  <c:v>61480</c:v>
                </c:pt>
                <c:pt idx="22">
                  <c:v>523136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C-40D8-B7DA-A9D690624DC9}"/>
            </c:ext>
          </c:extLst>
        </c:ser>
        <c:ser>
          <c:idx val="1"/>
          <c:order val="1"/>
          <c:tx>
            <c:v>계획</c:v>
          </c:tx>
          <c:cat>
            <c:strRef>
              <c:f>'10'!$D$6:$D$28</c:f>
              <c:strCache>
                <c:ptCount val="22"/>
                <c:pt idx="0">
                  <c:v>F/A</c:v>
                </c:pt>
                <c:pt idx="1">
                  <c:v>F/A</c:v>
                </c:pt>
                <c:pt idx="2">
                  <c:v>SLIDER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LOCKER/HINGE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'10'!$J$6:$J$28</c:f>
              <c:numCache>
                <c:formatCode>_(* #,##0_);_(* \(#,##0\);_(* "-"_);_(@_)</c:formatCode>
                <c:ptCount val="23"/>
                <c:pt idx="0">
                  <c:v>1225</c:v>
                </c:pt>
                <c:pt idx="1">
                  <c:v>2665</c:v>
                </c:pt>
                <c:pt idx="2">
                  <c:v>12708</c:v>
                </c:pt>
                <c:pt idx="3">
                  <c:v>7968</c:v>
                </c:pt>
                <c:pt idx="4">
                  <c:v>12426</c:v>
                </c:pt>
                <c:pt idx="5">
                  <c:v>12834</c:v>
                </c:pt>
                <c:pt idx="6">
                  <c:v>5190</c:v>
                </c:pt>
                <c:pt idx="7">
                  <c:v>5022</c:v>
                </c:pt>
                <c:pt idx="8">
                  <c:v>26112</c:v>
                </c:pt>
                <c:pt idx="9">
                  <c:v>100</c:v>
                </c:pt>
                <c:pt idx="10">
                  <c:v>26300</c:v>
                </c:pt>
                <c:pt idx="11">
                  <c:v>4111</c:v>
                </c:pt>
                <c:pt idx="12">
                  <c:v>28200</c:v>
                </c:pt>
                <c:pt idx="13">
                  <c:v>3113</c:v>
                </c:pt>
                <c:pt idx="14">
                  <c:v>1835</c:v>
                </c:pt>
                <c:pt idx="15">
                  <c:v>11805</c:v>
                </c:pt>
                <c:pt idx="16">
                  <c:v>61480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523136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1C-40D8-B7DA-A9D690624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'10'!$AD$6:$AD$28</c:f>
              <c:strCache>
                <c:ptCount val="23"/>
                <c:pt idx="0">
                  <c:v>25%</c:v>
                </c:pt>
                <c:pt idx="1">
                  <c:v>54%</c:v>
                </c:pt>
                <c:pt idx="2">
                  <c:v>100%</c:v>
                </c:pt>
                <c:pt idx="3">
                  <c:v>75%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83%</c:v>
                </c:pt>
                <c:pt idx="12">
                  <c:v>0%</c:v>
                </c:pt>
                <c:pt idx="13">
                  <c:v>79%</c:v>
                </c:pt>
                <c:pt idx="14">
                  <c:v>33%</c:v>
                </c:pt>
                <c:pt idx="15">
                  <c:v>58%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'10'!$D$6:$D$28</c:f>
              <c:strCache>
                <c:ptCount val="22"/>
                <c:pt idx="0">
                  <c:v>F/A</c:v>
                </c:pt>
                <c:pt idx="1">
                  <c:v>F/A</c:v>
                </c:pt>
                <c:pt idx="2">
                  <c:v>SLIDER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LOCKER/HINGE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'10'!$AD$6:$AD$28</c:f>
              <c:numCache>
                <c:formatCode>0%</c:formatCode>
                <c:ptCount val="23"/>
                <c:pt idx="0">
                  <c:v>0.25</c:v>
                </c:pt>
                <c:pt idx="1">
                  <c:v>0.54166666666666663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0.83333333333333337</c:v>
                </c:pt>
                <c:pt idx="12">
                  <c:v>0</c:v>
                </c:pt>
                <c:pt idx="13">
                  <c:v>0.79166666666666663</c:v>
                </c:pt>
                <c:pt idx="14">
                  <c:v>0.33333333333333331</c:v>
                </c:pt>
                <c:pt idx="15">
                  <c:v>0.58333333333333337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0-4D52-B8BC-A4F50154A3E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20-4D52-B8BC-A4F50154A3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'10'!$D$6:$D$28</c:f>
              <c:strCache>
                <c:ptCount val="22"/>
                <c:pt idx="0">
                  <c:v>F/A</c:v>
                </c:pt>
                <c:pt idx="1">
                  <c:v>F/A</c:v>
                </c:pt>
                <c:pt idx="2">
                  <c:v>SLIDER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LOCKER/HINGE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'10'!$AE$6:$AE$28</c:f>
              <c:numCache>
                <c:formatCode>0%</c:formatCode>
                <c:ptCount val="23"/>
                <c:pt idx="0">
                  <c:v>0.43115942028985504</c:v>
                </c:pt>
                <c:pt idx="1">
                  <c:v>0.43115942028985504</c:v>
                </c:pt>
                <c:pt idx="2">
                  <c:v>0.43115942028985504</c:v>
                </c:pt>
                <c:pt idx="3">
                  <c:v>0.43115942028985504</c:v>
                </c:pt>
                <c:pt idx="4">
                  <c:v>0.43115942028985504</c:v>
                </c:pt>
                <c:pt idx="5">
                  <c:v>0.43115942028985504</c:v>
                </c:pt>
                <c:pt idx="6">
                  <c:v>0.43115942028985504</c:v>
                </c:pt>
                <c:pt idx="7">
                  <c:v>0.43115942028985504</c:v>
                </c:pt>
                <c:pt idx="8">
                  <c:v>0.43115942028985504</c:v>
                </c:pt>
                <c:pt idx="9">
                  <c:v>0.43115942028985504</c:v>
                </c:pt>
                <c:pt idx="10">
                  <c:v>0.43115942028985504</c:v>
                </c:pt>
                <c:pt idx="11">
                  <c:v>0.43115942028985504</c:v>
                </c:pt>
                <c:pt idx="12">
                  <c:v>0.43115942028985504</c:v>
                </c:pt>
                <c:pt idx="13">
                  <c:v>0.43115942028985504</c:v>
                </c:pt>
                <c:pt idx="14">
                  <c:v>0.43115942028985504</c:v>
                </c:pt>
                <c:pt idx="15">
                  <c:v>0.43115942028985504</c:v>
                </c:pt>
                <c:pt idx="16">
                  <c:v>0.43115942028985504</c:v>
                </c:pt>
                <c:pt idx="17">
                  <c:v>0.43115942028985504</c:v>
                </c:pt>
                <c:pt idx="18">
                  <c:v>0.43115942028985504</c:v>
                </c:pt>
                <c:pt idx="19">
                  <c:v>0.43115942028985504</c:v>
                </c:pt>
                <c:pt idx="20">
                  <c:v>0.43115942028985504</c:v>
                </c:pt>
                <c:pt idx="21">
                  <c:v>0.43115942028985504</c:v>
                </c:pt>
                <c:pt idx="22">
                  <c:v>0.43115942028985504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20-4D52-B8BC-A4F50154A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'10'!$D$6:$D$28</c:f>
              <c:strCache>
                <c:ptCount val="22"/>
                <c:pt idx="0">
                  <c:v>F/A</c:v>
                </c:pt>
                <c:pt idx="1">
                  <c:v>F/A</c:v>
                </c:pt>
                <c:pt idx="2">
                  <c:v>SLIDER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LOCKER/HINGE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'10'!$L$6:$L$28</c:f>
              <c:numCache>
                <c:formatCode>_(* #,##0_);_(* \(#,##0\);_(* "-"_);_(@_)</c:formatCode>
                <c:ptCount val="23"/>
                <c:pt idx="0">
                  <c:v>1225</c:v>
                </c:pt>
                <c:pt idx="1">
                  <c:v>2665</c:v>
                </c:pt>
                <c:pt idx="2">
                  <c:v>12708</c:v>
                </c:pt>
                <c:pt idx="3">
                  <c:v>7968</c:v>
                </c:pt>
                <c:pt idx="4">
                  <c:v>12426</c:v>
                </c:pt>
                <c:pt idx="5">
                  <c:v>12834</c:v>
                </c:pt>
                <c:pt idx="8">
                  <c:v>26112</c:v>
                </c:pt>
                <c:pt idx="11">
                  <c:v>4111</c:v>
                </c:pt>
                <c:pt idx="13">
                  <c:v>3113</c:v>
                </c:pt>
                <c:pt idx="14">
                  <c:v>1835</c:v>
                </c:pt>
                <c:pt idx="15">
                  <c:v>11805</c:v>
                </c:pt>
                <c:pt idx="16">
                  <c:v>61480</c:v>
                </c:pt>
                <c:pt idx="22">
                  <c:v>523136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A-4867-96F8-DF94D624048C}"/>
            </c:ext>
          </c:extLst>
        </c:ser>
        <c:ser>
          <c:idx val="1"/>
          <c:order val="1"/>
          <c:tx>
            <c:v>계획</c:v>
          </c:tx>
          <c:cat>
            <c:strRef>
              <c:f>'10'!$D$6:$D$28</c:f>
              <c:strCache>
                <c:ptCount val="22"/>
                <c:pt idx="0">
                  <c:v>F/A</c:v>
                </c:pt>
                <c:pt idx="1">
                  <c:v>F/A</c:v>
                </c:pt>
                <c:pt idx="2">
                  <c:v>SLIDER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LOCKER/HINGE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'10'!$J$6:$J$28</c:f>
              <c:numCache>
                <c:formatCode>_(* #,##0_);_(* \(#,##0\);_(* "-"_);_(@_)</c:formatCode>
                <c:ptCount val="23"/>
                <c:pt idx="0">
                  <c:v>1225</c:v>
                </c:pt>
                <c:pt idx="1">
                  <c:v>2665</c:v>
                </c:pt>
                <c:pt idx="2">
                  <c:v>12708</c:v>
                </c:pt>
                <c:pt idx="3">
                  <c:v>7968</c:v>
                </c:pt>
                <c:pt idx="4">
                  <c:v>12426</c:v>
                </c:pt>
                <c:pt idx="5">
                  <c:v>12834</c:v>
                </c:pt>
                <c:pt idx="6">
                  <c:v>5190</c:v>
                </c:pt>
                <c:pt idx="7">
                  <c:v>5022</c:v>
                </c:pt>
                <c:pt idx="8">
                  <c:v>26112</c:v>
                </c:pt>
                <c:pt idx="9">
                  <c:v>100</c:v>
                </c:pt>
                <c:pt idx="10">
                  <c:v>26300</c:v>
                </c:pt>
                <c:pt idx="11">
                  <c:v>4111</c:v>
                </c:pt>
                <c:pt idx="12">
                  <c:v>28200</c:v>
                </c:pt>
                <c:pt idx="13">
                  <c:v>3113</c:v>
                </c:pt>
                <c:pt idx="14">
                  <c:v>1835</c:v>
                </c:pt>
                <c:pt idx="15">
                  <c:v>11805</c:v>
                </c:pt>
                <c:pt idx="16">
                  <c:v>61480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523136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A-4867-96F8-DF94D6240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'10'!$AD$6:$AD$28</c:f>
              <c:strCache>
                <c:ptCount val="23"/>
                <c:pt idx="0">
                  <c:v>25%</c:v>
                </c:pt>
                <c:pt idx="1">
                  <c:v>54%</c:v>
                </c:pt>
                <c:pt idx="2">
                  <c:v>100%</c:v>
                </c:pt>
                <c:pt idx="3">
                  <c:v>75%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83%</c:v>
                </c:pt>
                <c:pt idx="12">
                  <c:v>0%</c:v>
                </c:pt>
                <c:pt idx="13">
                  <c:v>79%</c:v>
                </c:pt>
                <c:pt idx="14">
                  <c:v>33%</c:v>
                </c:pt>
                <c:pt idx="15">
                  <c:v>58%</c:v>
                </c:pt>
                <c:pt idx="16">
                  <c:v>100%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'10'!$D$6:$D$28</c:f>
              <c:strCache>
                <c:ptCount val="22"/>
                <c:pt idx="0">
                  <c:v>F/A</c:v>
                </c:pt>
                <c:pt idx="1">
                  <c:v>F/A</c:v>
                </c:pt>
                <c:pt idx="2">
                  <c:v>SLIDER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LOCKER/HINGE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'10'!$AD$6:$AD$28</c:f>
              <c:numCache>
                <c:formatCode>0%</c:formatCode>
                <c:ptCount val="23"/>
                <c:pt idx="0">
                  <c:v>0.25</c:v>
                </c:pt>
                <c:pt idx="1">
                  <c:v>0.54166666666666663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0.83333333333333337</c:v>
                </c:pt>
                <c:pt idx="12">
                  <c:v>0</c:v>
                </c:pt>
                <c:pt idx="13">
                  <c:v>0.79166666666666663</c:v>
                </c:pt>
                <c:pt idx="14">
                  <c:v>0.33333333333333331</c:v>
                </c:pt>
                <c:pt idx="15">
                  <c:v>0.58333333333333337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4-4BC6-9C02-42ADD0F283C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F4-4BC6-9C02-42ADD0F283C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'10'!$D$6:$D$28</c:f>
              <c:strCache>
                <c:ptCount val="22"/>
                <c:pt idx="0">
                  <c:v>F/A</c:v>
                </c:pt>
                <c:pt idx="1">
                  <c:v>F/A</c:v>
                </c:pt>
                <c:pt idx="2">
                  <c:v>SLIDER</c:v>
                </c:pt>
                <c:pt idx="6">
                  <c:v>LATCH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0">
                  <c:v>COVER</c:v>
                </c:pt>
                <c:pt idx="11">
                  <c:v>COVER</c:v>
                </c:pt>
                <c:pt idx="13">
                  <c:v>LOCKER/HINGE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'10'!$AE$6:$AE$28</c:f>
              <c:numCache>
                <c:formatCode>0%</c:formatCode>
                <c:ptCount val="23"/>
                <c:pt idx="0">
                  <c:v>0.43115942028985504</c:v>
                </c:pt>
                <c:pt idx="1">
                  <c:v>0.43115942028985504</c:v>
                </c:pt>
                <c:pt idx="2">
                  <c:v>0.43115942028985504</c:v>
                </c:pt>
                <c:pt idx="3">
                  <c:v>0.43115942028985504</c:v>
                </c:pt>
                <c:pt idx="4">
                  <c:v>0.43115942028985504</c:v>
                </c:pt>
                <c:pt idx="5">
                  <c:v>0.43115942028985504</c:v>
                </c:pt>
                <c:pt idx="6">
                  <c:v>0.43115942028985504</c:v>
                </c:pt>
                <c:pt idx="7">
                  <c:v>0.43115942028985504</c:v>
                </c:pt>
                <c:pt idx="8">
                  <c:v>0.43115942028985504</c:v>
                </c:pt>
                <c:pt idx="9">
                  <c:v>0.43115942028985504</c:v>
                </c:pt>
                <c:pt idx="10">
                  <c:v>0.43115942028985504</c:v>
                </c:pt>
                <c:pt idx="11">
                  <c:v>0.43115942028985504</c:v>
                </c:pt>
                <c:pt idx="12">
                  <c:v>0.43115942028985504</c:v>
                </c:pt>
                <c:pt idx="13">
                  <c:v>0.43115942028985504</c:v>
                </c:pt>
                <c:pt idx="14">
                  <c:v>0.43115942028985504</c:v>
                </c:pt>
                <c:pt idx="15">
                  <c:v>0.43115942028985504</c:v>
                </c:pt>
                <c:pt idx="16">
                  <c:v>0.43115942028985504</c:v>
                </c:pt>
                <c:pt idx="17">
                  <c:v>0.43115942028985504</c:v>
                </c:pt>
                <c:pt idx="18">
                  <c:v>0.43115942028985504</c:v>
                </c:pt>
                <c:pt idx="19">
                  <c:v>0.43115942028985504</c:v>
                </c:pt>
                <c:pt idx="20">
                  <c:v>0.43115942028985504</c:v>
                </c:pt>
                <c:pt idx="21">
                  <c:v>0.43115942028985504</c:v>
                </c:pt>
                <c:pt idx="22">
                  <c:v>0.43115942028985504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F4-4BC6-9C02-42ADD0F28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D8A-4E90-A172-7D5CD62F36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8A-4E90-A172-7D5CD62F3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D8A-4E90-A172-7D5CD62F365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8A-4E90-A172-7D5CD62F3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'11'!$L$6:$L$27</c:f>
              <c:numCache>
                <c:formatCode>_(* #,##0_);_(* \(#,##0\);_(* "-"_);_(@_)</c:formatCode>
                <c:ptCount val="22"/>
                <c:pt idx="0">
                  <c:v>1524</c:v>
                </c:pt>
                <c:pt idx="1">
                  <c:v>12736</c:v>
                </c:pt>
                <c:pt idx="2">
                  <c:v>11268</c:v>
                </c:pt>
                <c:pt idx="3">
                  <c:v>12346</c:v>
                </c:pt>
                <c:pt idx="4">
                  <c:v>12546</c:v>
                </c:pt>
                <c:pt idx="5">
                  <c:v>5463</c:v>
                </c:pt>
                <c:pt idx="6">
                  <c:v>18572</c:v>
                </c:pt>
                <c:pt idx="7">
                  <c:v>16836</c:v>
                </c:pt>
                <c:pt idx="10">
                  <c:v>2602</c:v>
                </c:pt>
                <c:pt idx="12">
                  <c:v>3877</c:v>
                </c:pt>
                <c:pt idx="13">
                  <c:v>2290</c:v>
                </c:pt>
                <c:pt idx="14">
                  <c:v>15424</c:v>
                </c:pt>
                <c:pt idx="21">
                  <c:v>552288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1D-4393-A1AF-6956543D0CDC}"/>
            </c:ext>
          </c:extLst>
        </c:ser>
        <c:ser>
          <c:idx val="1"/>
          <c:order val="1"/>
          <c:tx>
            <c:v>계획</c:v>
          </c:tx>
          <c:cat>
            <c:strRef>
              <c:f>'11'!$D$6:$D$27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'11'!$J$6:$J$27</c:f>
              <c:numCache>
                <c:formatCode>_(* #,##0_);_(* \(#,##0\);_(* "-"_);_(@_)</c:formatCode>
                <c:ptCount val="22"/>
                <c:pt idx="0">
                  <c:v>1524</c:v>
                </c:pt>
                <c:pt idx="1">
                  <c:v>12736</c:v>
                </c:pt>
                <c:pt idx="2">
                  <c:v>11268</c:v>
                </c:pt>
                <c:pt idx="3">
                  <c:v>12346</c:v>
                </c:pt>
                <c:pt idx="4">
                  <c:v>12546</c:v>
                </c:pt>
                <c:pt idx="5">
                  <c:v>5463</c:v>
                </c:pt>
                <c:pt idx="6">
                  <c:v>18572</c:v>
                </c:pt>
                <c:pt idx="7">
                  <c:v>16836</c:v>
                </c:pt>
                <c:pt idx="8">
                  <c:v>100</c:v>
                </c:pt>
                <c:pt idx="9">
                  <c:v>26300</c:v>
                </c:pt>
                <c:pt idx="10">
                  <c:v>2602</c:v>
                </c:pt>
                <c:pt idx="11">
                  <c:v>28200</c:v>
                </c:pt>
                <c:pt idx="12">
                  <c:v>3877</c:v>
                </c:pt>
                <c:pt idx="13">
                  <c:v>2290</c:v>
                </c:pt>
                <c:pt idx="14">
                  <c:v>15424</c:v>
                </c:pt>
                <c:pt idx="15">
                  <c:v>61480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552288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1D-4393-A1AF-6956543D0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'11'!$AD$6:$AD$27</c:f>
              <c:strCache>
                <c:ptCount val="22"/>
                <c:pt idx="0">
                  <c:v>29%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96%</c:v>
                </c:pt>
                <c:pt idx="6">
                  <c:v>92%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83%</c:v>
                </c:pt>
                <c:pt idx="13">
                  <c:v>54%</c:v>
                </c:pt>
                <c:pt idx="14">
                  <c:v>75%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'11'!$AD$6:$AD$27</c:f>
              <c:numCache>
                <c:formatCode>0%</c:formatCode>
                <c:ptCount val="22"/>
                <c:pt idx="0">
                  <c:v>0.29166666666666669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0.95833333333333337</c:v>
                </c:pt>
                <c:pt idx="6">
                  <c:v>0.91666666666666663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0.54166666666666663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8-4A76-ABE8-C8AA7EBBAED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A8-4A76-ABE8-C8AA7EBBAED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'11'!$AE$6:$AE$27</c:f>
              <c:numCache>
                <c:formatCode>0%</c:formatCode>
                <c:ptCount val="22"/>
                <c:pt idx="0">
                  <c:v>0.48295454545454547</c:v>
                </c:pt>
                <c:pt idx="1">
                  <c:v>0.48295454545454547</c:v>
                </c:pt>
                <c:pt idx="2">
                  <c:v>0.48295454545454547</c:v>
                </c:pt>
                <c:pt idx="3">
                  <c:v>0.48295454545454547</c:v>
                </c:pt>
                <c:pt idx="4">
                  <c:v>0.48295454545454547</c:v>
                </c:pt>
                <c:pt idx="5">
                  <c:v>0.48295454545454547</c:v>
                </c:pt>
                <c:pt idx="6">
                  <c:v>0.48295454545454547</c:v>
                </c:pt>
                <c:pt idx="7">
                  <c:v>0.48295454545454547</c:v>
                </c:pt>
                <c:pt idx="8">
                  <c:v>0.48295454545454547</c:v>
                </c:pt>
                <c:pt idx="9">
                  <c:v>0.48295454545454547</c:v>
                </c:pt>
                <c:pt idx="10">
                  <c:v>0.48295454545454547</c:v>
                </c:pt>
                <c:pt idx="11">
                  <c:v>0.48295454545454547</c:v>
                </c:pt>
                <c:pt idx="12">
                  <c:v>0.48295454545454547</c:v>
                </c:pt>
                <c:pt idx="13">
                  <c:v>0.48295454545454547</c:v>
                </c:pt>
                <c:pt idx="14">
                  <c:v>0.48295454545454547</c:v>
                </c:pt>
                <c:pt idx="15">
                  <c:v>0.48295454545454547</c:v>
                </c:pt>
                <c:pt idx="16">
                  <c:v>0.48295454545454547</c:v>
                </c:pt>
                <c:pt idx="17">
                  <c:v>0.48295454545454547</c:v>
                </c:pt>
                <c:pt idx="18">
                  <c:v>0.48295454545454547</c:v>
                </c:pt>
                <c:pt idx="19">
                  <c:v>0.48295454545454547</c:v>
                </c:pt>
                <c:pt idx="20">
                  <c:v>0.48295454545454547</c:v>
                </c:pt>
                <c:pt idx="21">
                  <c:v>0.48295454545454547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A8-4A76-ABE8-C8AA7EBBA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'11'!$L$6:$L$27</c:f>
              <c:numCache>
                <c:formatCode>_(* #,##0_);_(* \(#,##0\);_(* "-"_);_(@_)</c:formatCode>
                <c:ptCount val="22"/>
                <c:pt idx="0">
                  <c:v>1524</c:v>
                </c:pt>
                <c:pt idx="1">
                  <c:v>12736</c:v>
                </c:pt>
                <c:pt idx="2">
                  <c:v>11268</c:v>
                </c:pt>
                <c:pt idx="3">
                  <c:v>12346</c:v>
                </c:pt>
                <c:pt idx="4">
                  <c:v>12546</c:v>
                </c:pt>
                <c:pt idx="5">
                  <c:v>5463</c:v>
                </c:pt>
                <c:pt idx="6">
                  <c:v>18572</c:v>
                </c:pt>
                <c:pt idx="7">
                  <c:v>16836</c:v>
                </c:pt>
                <c:pt idx="10">
                  <c:v>2602</c:v>
                </c:pt>
                <c:pt idx="12">
                  <c:v>3877</c:v>
                </c:pt>
                <c:pt idx="13">
                  <c:v>2290</c:v>
                </c:pt>
                <c:pt idx="14">
                  <c:v>15424</c:v>
                </c:pt>
                <c:pt idx="21">
                  <c:v>552288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5D-4633-8582-177559565121}"/>
            </c:ext>
          </c:extLst>
        </c:ser>
        <c:ser>
          <c:idx val="1"/>
          <c:order val="1"/>
          <c:tx>
            <c:v>계획</c:v>
          </c:tx>
          <c:cat>
            <c:strRef>
              <c:f>'11'!$D$6:$D$27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'11'!$J$6:$J$27</c:f>
              <c:numCache>
                <c:formatCode>_(* #,##0_);_(* \(#,##0\);_(* "-"_);_(@_)</c:formatCode>
                <c:ptCount val="22"/>
                <c:pt idx="0">
                  <c:v>1524</c:v>
                </c:pt>
                <c:pt idx="1">
                  <c:v>12736</c:v>
                </c:pt>
                <c:pt idx="2">
                  <c:v>11268</c:v>
                </c:pt>
                <c:pt idx="3">
                  <c:v>12346</c:v>
                </c:pt>
                <c:pt idx="4">
                  <c:v>12546</c:v>
                </c:pt>
                <c:pt idx="5">
                  <c:v>5463</c:v>
                </c:pt>
                <c:pt idx="6">
                  <c:v>18572</c:v>
                </c:pt>
                <c:pt idx="7">
                  <c:v>16836</c:v>
                </c:pt>
                <c:pt idx="8">
                  <c:v>100</c:v>
                </c:pt>
                <c:pt idx="9">
                  <c:v>26300</c:v>
                </c:pt>
                <c:pt idx="10">
                  <c:v>2602</c:v>
                </c:pt>
                <c:pt idx="11">
                  <c:v>28200</c:v>
                </c:pt>
                <c:pt idx="12">
                  <c:v>3877</c:v>
                </c:pt>
                <c:pt idx="13">
                  <c:v>2290</c:v>
                </c:pt>
                <c:pt idx="14">
                  <c:v>15424</c:v>
                </c:pt>
                <c:pt idx="15">
                  <c:v>61480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552288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5D-4633-8582-177559565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'11'!$AD$6:$AD$27</c:f>
              <c:strCache>
                <c:ptCount val="22"/>
                <c:pt idx="0">
                  <c:v>29%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96%</c:v>
                </c:pt>
                <c:pt idx="6">
                  <c:v>92%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83%</c:v>
                </c:pt>
                <c:pt idx="13">
                  <c:v>54%</c:v>
                </c:pt>
                <c:pt idx="14">
                  <c:v>75%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'11'!$AD$6:$AD$27</c:f>
              <c:numCache>
                <c:formatCode>0%</c:formatCode>
                <c:ptCount val="22"/>
                <c:pt idx="0">
                  <c:v>0.29166666666666669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0.95833333333333337</c:v>
                </c:pt>
                <c:pt idx="6">
                  <c:v>0.91666666666666663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0.54166666666666663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90-467D-97FB-3B379495FEF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90-467D-97FB-3B379495FE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'11'!$D$6:$D$27</c:f>
              <c:strCache>
                <c:ptCount val="21"/>
                <c:pt idx="0">
                  <c:v>F/A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'11'!$AE$6:$AE$27</c:f>
              <c:numCache>
                <c:formatCode>0%</c:formatCode>
                <c:ptCount val="22"/>
                <c:pt idx="0">
                  <c:v>0.48295454545454547</c:v>
                </c:pt>
                <c:pt idx="1">
                  <c:v>0.48295454545454547</c:v>
                </c:pt>
                <c:pt idx="2">
                  <c:v>0.48295454545454547</c:v>
                </c:pt>
                <c:pt idx="3">
                  <c:v>0.48295454545454547</c:v>
                </c:pt>
                <c:pt idx="4">
                  <c:v>0.48295454545454547</c:v>
                </c:pt>
                <c:pt idx="5">
                  <c:v>0.48295454545454547</c:v>
                </c:pt>
                <c:pt idx="6">
                  <c:v>0.48295454545454547</c:v>
                </c:pt>
                <c:pt idx="7">
                  <c:v>0.48295454545454547</c:v>
                </c:pt>
                <c:pt idx="8">
                  <c:v>0.48295454545454547</c:v>
                </c:pt>
                <c:pt idx="9">
                  <c:v>0.48295454545454547</c:v>
                </c:pt>
                <c:pt idx="10">
                  <c:v>0.48295454545454547</c:v>
                </c:pt>
                <c:pt idx="11">
                  <c:v>0.48295454545454547</c:v>
                </c:pt>
                <c:pt idx="12">
                  <c:v>0.48295454545454547</c:v>
                </c:pt>
                <c:pt idx="13">
                  <c:v>0.48295454545454547</c:v>
                </c:pt>
                <c:pt idx="14">
                  <c:v>0.48295454545454547</c:v>
                </c:pt>
                <c:pt idx="15">
                  <c:v>0.48295454545454547</c:v>
                </c:pt>
                <c:pt idx="16">
                  <c:v>0.48295454545454547</c:v>
                </c:pt>
                <c:pt idx="17">
                  <c:v>0.48295454545454547</c:v>
                </c:pt>
                <c:pt idx="18">
                  <c:v>0.48295454545454547</c:v>
                </c:pt>
                <c:pt idx="19">
                  <c:v>0.48295454545454547</c:v>
                </c:pt>
                <c:pt idx="20">
                  <c:v>0.48295454545454547</c:v>
                </c:pt>
                <c:pt idx="21">
                  <c:v>0.48295454545454547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90-467D-97FB-3B379495F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E2D-4BB9-82B4-810427E2E1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2D-4BB9-82B4-810427E2E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E2D-4BB9-82B4-810427E2E17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2D-4BB9-82B4-810427E2E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'14'!$D$6:$D$28</c:f>
              <c:strCache>
                <c:ptCount val="22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COVER</c:v>
                </c:pt>
                <c:pt idx="13">
                  <c:v>FLOATING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'14'!$L$6:$L$28</c:f>
              <c:numCache>
                <c:formatCode>_(* #,##0_);_(* \(#,##0\);_(* "-"_);_(@_)</c:formatCode>
                <c:ptCount val="23"/>
                <c:pt idx="0">
                  <c:v>16268</c:v>
                </c:pt>
                <c:pt idx="1">
                  <c:v>7762</c:v>
                </c:pt>
                <c:pt idx="2">
                  <c:v>11096</c:v>
                </c:pt>
                <c:pt idx="3">
                  <c:v>11482</c:v>
                </c:pt>
                <c:pt idx="4">
                  <c:v>11538</c:v>
                </c:pt>
                <c:pt idx="5">
                  <c:v>1050</c:v>
                </c:pt>
                <c:pt idx="7">
                  <c:v>1152</c:v>
                </c:pt>
                <c:pt idx="10">
                  <c:v>535</c:v>
                </c:pt>
                <c:pt idx="11">
                  <c:v>13316</c:v>
                </c:pt>
                <c:pt idx="13">
                  <c:v>3119</c:v>
                </c:pt>
                <c:pt idx="14">
                  <c:v>5013</c:v>
                </c:pt>
                <c:pt idx="15">
                  <c:v>13830</c:v>
                </c:pt>
                <c:pt idx="22">
                  <c:v>502656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58-4DFD-B94B-6BC8CC19BD2F}"/>
            </c:ext>
          </c:extLst>
        </c:ser>
        <c:ser>
          <c:idx val="1"/>
          <c:order val="1"/>
          <c:tx>
            <c:v>계획</c:v>
          </c:tx>
          <c:cat>
            <c:strRef>
              <c:f>'14'!$D$6:$D$28</c:f>
              <c:strCache>
                <c:ptCount val="22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COVER</c:v>
                </c:pt>
                <c:pt idx="13">
                  <c:v>FLOATING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'14'!$J$6:$J$28</c:f>
              <c:numCache>
                <c:formatCode>_(* #,##0_);_(* \(#,##0\);_(* "-"_);_(@_)</c:formatCode>
                <c:ptCount val="23"/>
                <c:pt idx="0">
                  <c:v>16268</c:v>
                </c:pt>
                <c:pt idx="1">
                  <c:v>7762</c:v>
                </c:pt>
                <c:pt idx="2">
                  <c:v>11096</c:v>
                </c:pt>
                <c:pt idx="3">
                  <c:v>11482</c:v>
                </c:pt>
                <c:pt idx="4">
                  <c:v>11538</c:v>
                </c:pt>
                <c:pt idx="5">
                  <c:v>1050</c:v>
                </c:pt>
                <c:pt idx="6">
                  <c:v>18572</c:v>
                </c:pt>
                <c:pt idx="7">
                  <c:v>1152</c:v>
                </c:pt>
                <c:pt idx="8">
                  <c:v>100</c:v>
                </c:pt>
                <c:pt idx="9">
                  <c:v>26300</c:v>
                </c:pt>
                <c:pt idx="10">
                  <c:v>535</c:v>
                </c:pt>
                <c:pt idx="11">
                  <c:v>13316</c:v>
                </c:pt>
                <c:pt idx="12">
                  <c:v>28200</c:v>
                </c:pt>
                <c:pt idx="13">
                  <c:v>3119</c:v>
                </c:pt>
                <c:pt idx="14">
                  <c:v>5013</c:v>
                </c:pt>
                <c:pt idx="15">
                  <c:v>13830</c:v>
                </c:pt>
                <c:pt idx="16">
                  <c:v>61480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502656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58-4DFD-B94B-6BC8CC19B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'14'!$AD$6:$AD$28</c:f>
              <c:strCache>
                <c:ptCount val="23"/>
                <c:pt idx="0">
                  <c:v>79%</c:v>
                </c:pt>
                <c:pt idx="1">
                  <c:v>67%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21%</c:v>
                </c:pt>
                <c:pt idx="6">
                  <c:v>0%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13%</c:v>
                </c:pt>
                <c:pt idx="11">
                  <c:v>63%</c:v>
                </c:pt>
                <c:pt idx="12">
                  <c:v>0%</c:v>
                </c:pt>
                <c:pt idx="13">
                  <c:v>83%</c:v>
                </c:pt>
                <c:pt idx="14">
                  <c:v>100%</c:v>
                </c:pt>
                <c:pt idx="15">
                  <c:v>75%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'14'!$D$6:$D$28</c:f>
              <c:strCache>
                <c:ptCount val="22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COVER</c:v>
                </c:pt>
                <c:pt idx="13">
                  <c:v>FLOATING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'14'!$AD$6:$AD$28</c:f>
              <c:numCache>
                <c:formatCode>0%</c:formatCode>
                <c:ptCount val="23"/>
                <c:pt idx="0">
                  <c:v>0.79166666666666663</c:v>
                </c:pt>
                <c:pt idx="1">
                  <c:v>0.66666666666666663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0.20833333333333334</c:v>
                </c:pt>
                <c:pt idx="6">
                  <c:v>0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0.125</c:v>
                </c:pt>
                <c:pt idx="11">
                  <c:v>0.625</c:v>
                </c:pt>
                <c:pt idx="12">
                  <c:v>0</c:v>
                </c:pt>
                <c:pt idx="13">
                  <c:v>0.83333333333333337</c:v>
                </c:pt>
                <c:pt idx="14">
                  <c:v>1</c:v>
                </c:pt>
                <c:pt idx="15">
                  <c:v>0.75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6-4862-B831-BD6E1CC7619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26-4862-B831-BD6E1CC761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'14'!$D$6:$D$28</c:f>
              <c:strCache>
                <c:ptCount val="22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COVER</c:v>
                </c:pt>
                <c:pt idx="13">
                  <c:v>FLOATING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'14'!$AE$6:$AE$28</c:f>
              <c:numCache>
                <c:formatCode>0%</c:formatCode>
                <c:ptCount val="23"/>
                <c:pt idx="0">
                  <c:v>0.40217391304347827</c:v>
                </c:pt>
                <c:pt idx="1">
                  <c:v>0.40217391304347827</c:v>
                </c:pt>
                <c:pt idx="2">
                  <c:v>0.40217391304347827</c:v>
                </c:pt>
                <c:pt idx="3">
                  <c:v>0.40217391304347827</c:v>
                </c:pt>
                <c:pt idx="4">
                  <c:v>0.40217391304347827</c:v>
                </c:pt>
                <c:pt idx="5">
                  <c:v>0.40217391304347827</c:v>
                </c:pt>
                <c:pt idx="6">
                  <c:v>0.40217391304347827</c:v>
                </c:pt>
                <c:pt idx="7">
                  <c:v>0.40217391304347827</c:v>
                </c:pt>
                <c:pt idx="8">
                  <c:v>0.40217391304347827</c:v>
                </c:pt>
                <c:pt idx="9">
                  <c:v>0.40217391304347827</c:v>
                </c:pt>
                <c:pt idx="10">
                  <c:v>0.40217391304347827</c:v>
                </c:pt>
                <c:pt idx="11">
                  <c:v>0.40217391304347827</c:v>
                </c:pt>
                <c:pt idx="12">
                  <c:v>0.40217391304347827</c:v>
                </c:pt>
                <c:pt idx="13">
                  <c:v>0.40217391304347827</c:v>
                </c:pt>
                <c:pt idx="14">
                  <c:v>0.40217391304347827</c:v>
                </c:pt>
                <c:pt idx="15">
                  <c:v>0.40217391304347827</c:v>
                </c:pt>
                <c:pt idx="16">
                  <c:v>0.40217391304347827</c:v>
                </c:pt>
                <c:pt idx="17">
                  <c:v>0.40217391304347827</c:v>
                </c:pt>
                <c:pt idx="18">
                  <c:v>0.40217391304347827</c:v>
                </c:pt>
                <c:pt idx="19">
                  <c:v>0.40217391304347827</c:v>
                </c:pt>
                <c:pt idx="20">
                  <c:v>0.40217391304347827</c:v>
                </c:pt>
                <c:pt idx="21">
                  <c:v>0.40217391304347827</c:v>
                </c:pt>
                <c:pt idx="22">
                  <c:v>0.40217391304347827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26-4862-B831-BD6E1CC76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'14'!$D$6:$D$28</c:f>
              <c:strCache>
                <c:ptCount val="22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COVER</c:v>
                </c:pt>
                <c:pt idx="13">
                  <c:v>FLOATING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'14'!$L$6:$L$28</c:f>
              <c:numCache>
                <c:formatCode>_(* #,##0_);_(* \(#,##0\);_(* "-"_);_(@_)</c:formatCode>
                <c:ptCount val="23"/>
                <c:pt idx="0">
                  <c:v>16268</c:v>
                </c:pt>
                <c:pt idx="1">
                  <c:v>7762</c:v>
                </c:pt>
                <c:pt idx="2">
                  <c:v>11096</c:v>
                </c:pt>
                <c:pt idx="3">
                  <c:v>11482</c:v>
                </c:pt>
                <c:pt idx="4">
                  <c:v>11538</c:v>
                </c:pt>
                <c:pt idx="5">
                  <c:v>1050</c:v>
                </c:pt>
                <c:pt idx="7">
                  <c:v>1152</c:v>
                </c:pt>
                <c:pt idx="10">
                  <c:v>535</c:v>
                </c:pt>
                <c:pt idx="11">
                  <c:v>13316</c:v>
                </c:pt>
                <c:pt idx="13">
                  <c:v>3119</c:v>
                </c:pt>
                <c:pt idx="14">
                  <c:v>5013</c:v>
                </c:pt>
                <c:pt idx="15">
                  <c:v>13830</c:v>
                </c:pt>
                <c:pt idx="22">
                  <c:v>502656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3-402D-82AE-E91030631F67}"/>
            </c:ext>
          </c:extLst>
        </c:ser>
        <c:ser>
          <c:idx val="1"/>
          <c:order val="1"/>
          <c:tx>
            <c:v>계획</c:v>
          </c:tx>
          <c:cat>
            <c:strRef>
              <c:f>'14'!$D$6:$D$28</c:f>
              <c:strCache>
                <c:ptCount val="22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COVER</c:v>
                </c:pt>
                <c:pt idx="13">
                  <c:v>FLOATING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'14'!$J$6:$J$28</c:f>
              <c:numCache>
                <c:formatCode>_(* #,##0_);_(* \(#,##0\);_(* "-"_);_(@_)</c:formatCode>
                <c:ptCount val="23"/>
                <c:pt idx="0">
                  <c:v>16268</c:v>
                </c:pt>
                <c:pt idx="1">
                  <c:v>7762</c:v>
                </c:pt>
                <c:pt idx="2">
                  <c:v>11096</c:v>
                </c:pt>
                <c:pt idx="3">
                  <c:v>11482</c:v>
                </c:pt>
                <c:pt idx="4">
                  <c:v>11538</c:v>
                </c:pt>
                <c:pt idx="5">
                  <c:v>1050</c:v>
                </c:pt>
                <c:pt idx="6">
                  <c:v>18572</c:v>
                </c:pt>
                <c:pt idx="7">
                  <c:v>1152</c:v>
                </c:pt>
                <c:pt idx="8">
                  <c:v>100</c:v>
                </c:pt>
                <c:pt idx="9">
                  <c:v>26300</c:v>
                </c:pt>
                <c:pt idx="10">
                  <c:v>535</c:v>
                </c:pt>
                <c:pt idx="11">
                  <c:v>13316</c:v>
                </c:pt>
                <c:pt idx="12">
                  <c:v>28200</c:v>
                </c:pt>
                <c:pt idx="13">
                  <c:v>3119</c:v>
                </c:pt>
                <c:pt idx="14">
                  <c:v>5013</c:v>
                </c:pt>
                <c:pt idx="15">
                  <c:v>13830</c:v>
                </c:pt>
                <c:pt idx="16">
                  <c:v>61480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502656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23-402D-82AE-E91030631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'14'!$AD$6:$AD$28</c:f>
              <c:strCache>
                <c:ptCount val="23"/>
                <c:pt idx="0">
                  <c:v>79%</c:v>
                </c:pt>
                <c:pt idx="1">
                  <c:v>67%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21%</c:v>
                </c:pt>
                <c:pt idx="6">
                  <c:v>0%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13%</c:v>
                </c:pt>
                <c:pt idx="11">
                  <c:v>63%</c:v>
                </c:pt>
                <c:pt idx="12">
                  <c:v>0%</c:v>
                </c:pt>
                <c:pt idx="13">
                  <c:v>83%</c:v>
                </c:pt>
                <c:pt idx="14">
                  <c:v>100%</c:v>
                </c:pt>
                <c:pt idx="15">
                  <c:v>75%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'14'!$D$6:$D$28</c:f>
              <c:strCache>
                <c:ptCount val="22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COVER</c:v>
                </c:pt>
                <c:pt idx="13">
                  <c:v>FLOATING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'14'!$AD$6:$AD$28</c:f>
              <c:numCache>
                <c:formatCode>0%</c:formatCode>
                <c:ptCount val="23"/>
                <c:pt idx="0">
                  <c:v>0.79166666666666663</c:v>
                </c:pt>
                <c:pt idx="1">
                  <c:v>0.66666666666666663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0.20833333333333334</c:v>
                </c:pt>
                <c:pt idx="6">
                  <c:v>0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0.125</c:v>
                </c:pt>
                <c:pt idx="11">
                  <c:v>0.625</c:v>
                </c:pt>
                <c:pt idx="12">
                  <c:v>0</c:v>
                </c:pt>
                <c:pt idx="13">
                  <c:v>0.83333333333333337</c:v>
                </c:pt>
                <c:pt idx="14">
                  <c:v>1</c:v>
                </c:pt>
                <c:pt idx="15">
                  <c:v>0.75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B7-4556-ACA0-D46614F348F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B7-4556-ACA0-D46614F348F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'14'!$D$6:$D$28</c:f>
              <c:strCache>
                <c:ptCount val="22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COVER</c:v>
                </c:pt>
                <c:pt idx="13">
                  <c:v>FLOATING</c:v>
                </c:pt>
                <c:pt idx="14">
                  <c:v>ACTUATOR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'14'!$AE$6:$AE$28</c:f>
              <c:numCache>
                <c:formatCode>0%</c:formatCode>
                <c:ptCount val="23"/>
                <c:pt idx="0">
                  <c:v>0.40217391304347827</c:v>
                </c:pt>
                <c:pt idx="1">
                  <c:v>0.40217391304347827</c:v>
                </c:pt>
                <c:pt idx="2">
                  <c:v>0.40217391304347827</c:v>
                </c:pt>
                <c:pt idx="3">
                  <c:v>0.40217391304347827</c:v>
                </c:pt>
                <c:pt idx="4">
                  <c:v>0.40217391304347827</c:v>
                </c:pt>
                <c:pt idx="5">
                  <c:v>0.40217391304347827</c:v>
                </c:pt>
                <c:pt idx="6">
                  <c:v>0.40217391304347827</c:v>
                </c:pt>
                <c:pt idx="7">
                  <c:v>0.40217391304347827</c:v>
                </c:pt>
                <c:pt idx="8">
                  <c:v>0.40217391304347827</c:v>
                </c:pt>
                <c:pt idx="9">
                  <c:v>0.40217391304347827</c:v>
                </c:pt>
                <c:pt idx="10">
                  <c:v>0.40217391304347827</c:v>
                </c:pt>
                <c:pt idx="11">
                  <c:v>0.40217391304347827</c:v>
                </c:pt>
                <c:pt idx="12">
                  <c:v>0.40217391304347827</c:v>
                </c:pt>
                <c:pt idx="13">
                  <c:v>0.40217391304347827</c:v>
                </c:pt>
                <c:pt idx="14">
                  <c:v>0.40217391304347827</c:v>
                </c:pt>
                <c:pt idx="15">
                  <c:v>0.40217391304347827</c:v>
                </c:pt>
                <c:pt idx="16">
                  <c:v>0.40217391304347827</c:v>
                </c:pt>
                <c:pt idx="17">
                  <c:v>0.40217391304347827</c:v>
                </c:pt>
                <c:pt idx="18">
                  <c:v>0.40217391304347827</c:v>
                </c:pt>
                <c:pt idx="19">
                  <c:v>0.40217391304347827</c:v>
                </c:pt>
                <c:pt idx="20">
                  <c:v>0.40217391304347827</c:v>
                </c:pt>
                <c:pt idx="21">
                  <c:v>0.40217391304347827</c:v>
                </c:pt>
                <c:pt idx="22">
                  <c:v>0.40217391304347827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B7-4556-ACA0-D46614F34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4FF-4F2C-B7EB-7DD011B009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FF-4F2C-B7EB-7DD011B00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4FF-4F2C-B7EB-7DD011B009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FF-4F2C-B7EB-7DD011B00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'15'!$D$6:$D$27</c:f>
              <c:strCache>
                <c:ptCount val="21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'15'!$L$6:$L$27</c:f>
              <c:numCache>
                <c:formatCode>_(* #,##0_);_(* \(#,##0\);_(* "-"_);_(@_)</c:formatCode>
                <c:ptCount val="22"/>
                <c:pt idx="0">
                  <c:v>10679</c:v>
                </c:pt>
                <c:pt idx="1">
                  <c:v>10491</c:v>
                </c:pt>
                <c:pt idx="2">
                  <c:v>11214</c:v>
                </c:pt>
                <c:pt idx="3">
                  <c:v>12290</c:v>
                </c:pt>
                <c:pt idx="7">
                  <c:v>3915</c:v>
                </c:pt>
                <c:pt idx="10">
                  <c:v>11124</c:v>
                </c:pt>
                <c:pt idx="12">
                  <c:v>3144</c:v>
                </c:pt>
                <c:pt idx="13">
                  <c:v>5211</c:v>
                </c:pt>
                <c:pt idx="14">
                  <c:v>18372</c:v>
                </c:pt>
                <c:pt idx="21">
                  <c:v>539840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2C-4C1B-8C06-2E2711B0BEA9}"/>
            </c:ext>
          </c:extLst>
        </c:ser>
        <c:ser>
          <c:idx val="1"/>
          <c:order val="1"/>
          <c:tx>
            <c:v>계획</c:v>
          </c:tx>
          <c:cat>
            <c:strRef>
              <c:f>'15'!$D$6:$D$27</c:f>
              <c:strCache>
                <c:ptCount val="21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'15'!$J$6:$J$27</c:f>
              <c:numCache>
                <c:formatCode>_(* #,##0_);_(* \(#,##0\);_(* "-"_);_(@_)</c:formatCode>
                <c:ptCount val="22"/>
                <c:pt idx="0">
                  <c:v>10679</c:v>
                </c:pt>
                <c:pt idx="1">
                  <c:v>10491</c:v>
                </c:pt>
                <c:pt idx="2">
                  <c:v>11214</c:v>
                </c:pt>
                <c:pt idx="3">
                  <c:v>12290</c:v>
                </c:pt>
                <c:pt idx="4">
                  <c:v>11538</c:v>
                </c:pt>
                <c:pt idx="5">
                  <c:v>1050</c:v>
                </c:pt>
                <c:pt idx="6">
                  <c:v>18572</c:v>
                </c:pt>
                <c:pt idx="7">
                  <c:v>3915</c:v>
                </c:pt>
                <c:pt idx="8">
                  <c:v>100</c:v>
                </c:pt>
                <c:pt idx="9">
                  <c:v>26300</c:v>
                </c:pt>
                <c:pt idx="10">
                  <c:v>11124</c:v>
                </c:pt>
                <c:pt idx="11">
                  <c:v>28200</c:v>
                </c:pt>
                <c:pt idx="12">
                  <c:v>3144</c:v>
                </c:pt>
                <c:pt idx="13">
                  <c:v>5211</c:v>
                </c:pt>
                <c:pt idx="14">
                  <c:v>18372</c:v>
                </c:pt>
                <c:pt idx="15">
                  <c:v>61480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539840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2C-4C1B-8C06-2E2711B0B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'15'!$AD$6:$AD$27</c:f>
              <c:strCache>
                <c:ptCount val="22"/>
                <c:pt idx="0">
                  <c:v>50%</c:v>
                </c:pt>
                <c:pt idx="1">
                  <c:v>96%</c:v>
                </c:pt>
                <c:pt idx="2">
                  <c:v>96%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50%</c:v>
                </c:pt>
                <c:pt idx="11">
                  <c:v>0%</c:v>
                </c:pt>
                <c:pt idx="12">
                  <c:v>83%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'15'!$D$6:$D$27</c:f>
              <c:strCache>
                <c:ptCount val="21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'15'!$AD$6:$AD$27</c:f>
              <c:numCache>
                <c:formatCode>0%</c:formatCode>
                <c:ptCount val="22"/>
                <c:pt idx="0">
                  <c:v>0.5</c:v>
                </c:pt>
                <c:pt idx="1">
                  <c:v>0.95833333333333337</c:v>
                </c:pt>
                <c:pt idx="2">
                  <c:v>0.95833333333333337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0.83333333333333337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4-4D9F-BA06-F1E85DC4368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84-4D9F-BA06-F1E85DC4368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'15'!$D$6:$D$27</c:f>
              <c:strCache>
                <c:ptCount val="21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'15'!$AE$6:$AE$27</c:f>
              <c:numCache>
                <c:formatCode>0%</c:formatCode>
                <c:ptCount val="22"/>
                <c:pt idx="0">
                  <c:v>0.39204545454545453</c:v>
                </c:pt>
                <c:pt idx="1">
                  <c:v>0.39204545454545453</c:v>
                </c:pt>
                <c:pt idx="2">
                  <c:v>0.39204545454545453</c:v>
                </c:pt>
                <c:pt idx="3">
                  <c:v>0.39204545454545453</c:v>
                </c:pt>
                <c:pt idx="4">
                  <c:v>0.39204545454545453</c:v>
                </c:pt>
                <c:pt idx="5">
                  <c:v>0.39204545454545453</c:v>
                </c:pt>
                <c:pt idx="6">
                  <c:v>0.39204545454545453</c:v>
                </c:pt>
                <c:pt idx="7">
                  <c:v>0.39204545454545453</c:v>
                </c:pt>
                <c:pt idx="8">
                  <c:v>0.39204545454545453</c:v>
                </c:pt>
                <c:pt idx="9">
                  <c:v>0.39204545454545453</c:v>
                </c:pt>
                <c:pt idx="10">
                  <c:v>0.39204545454545453</c:v>
                </c:pt>
                <c:pt idx="11">
                  <c:v>0.39204545454545453</c:v>
                </c:pt>
                <c:pt idx="12">
                  <c:v>0.39204545454545453</c:v>
                </c:pt>
                <c:pt idx="13">
                  <c:v>0.39204545454545453</c:v>
                </c:pt>
                <c:pt idx="14">
                  <c:v>0.39204545454545453</c:v>
                </c:pt>
                <c:pt idx="15">
                  <c:v>0.39204545454545453</c:v>
                </c:pt>
                <c:pt idx="16">
                  <c:v>0.39204545454545453</c:v>
                </c:pt>
                <c:pt idx="17">
                  <c:v>0.39204545454545453</c:v>
                </c:pt>
                <c:pt idx="18">
                  <c:v>0.39204545454545453</c:v>
                </c:pt>
                <c:pt idx="19">
                  <c:v>0.39204545454545453</c:v>
                </c:pt>
                <c:pt idx="20">
                  <c:v>0.39204545454545453</c:v>
                </c:pt>
                <c:pt idx="21">
                  <c:v>0.39204545454545453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84-4D9F-BA06-F1E85DC43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'15'!$D$6:$D$27</c:f>
              <c:strCache>
                <c:ptCount val="21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'15'!$L$6:$L$27</c:f>
              <c:numCache>
                <c:formatCode>_(* #,##0_);_(* \(#,##0\);_(* "-"_);_(@_)</c:formatCode>
                <c:ptCount val="22"/>
                <c:pt idx="0">
                  <c:v>10679</c:v>
                </c:pt>
                <c:pt idx="1">
                  <c:v>10491</c:v>
                </c:pt>
                <c:pt idx="2">
                  <c:v>11214</c:v>
                </c:pt>
                <c:pt idx="3">
                  <c:v>12290</c:v>
                </c:pt>
                <c:pt idx="7">
                  <c:v>3915</c:v>
                </c:pt>
                <c:pt idx="10">
                  <c:v>11124</c:v>
                </c:pt>
                <c:pt idx="12">
                  <c:v>3144</c:v>
                </c:pt>
                <c:pt idx="13">
                  <c:v>5211</c:v>
                </c:pt>
                <c:pt idx="14">
                  <c:v>18372</c:v>
                </c:pt>
                <c:pt idx="21">
                  <c:v>539840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7-48C5-A9B3-E1FDC81A0E4E}"/>
            </c:ext>
          </c:extLst>
        </c:ser>
        <c:ser>
          <c:idx val="1"/>
          <c:order val="1"/>
          <c:tx>
            <c:v>계획</c:v>
          </c:tx>
          <c:cat>
            <c:strRef>
              <c:f>'15'!$D$6:$D$27</c:f>
              <c:strCache>
                <c:ptCount val="21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'15'!$J$6:$J$27</c:f>
              <c:numCache>
                <c:formatCode>_(* #,##0_);_(* \(#,##0\);_(* "-"_);_(@_)</c:formatCode>
                <c:ptCount val="22"/>
                <c:pt idx="0">
                  <c:v>10679</c:v>
                </c:pt>
                <c:pt idx="1">
                  <c:v>10491</c:v>
                </c:pt>
                <c:pt idx="2">
                  <c:v>11214</c:v>
                </c:pt>
                <c:pt idx="3">
                  <c:v>12290</c:v>
                </c:pt>
                <c:pt idx="4">
                  <c:v>11538</c:v>
                </c:pt>
                <c:pt idx="5">
                  <c:v>1050</c:v>
                </c:pt>
                <c:pt idx="6">
                  <c:v>18572</c:v>
                </c:pt>
                <c:pt idx="7">
                  <c:v>3915</c:v>
                </c:pt>
                <c:pt idx="8">
                  <c:v>100</c:v>
                </c:pt>
                <c:pt idx="9">
                  <c:v>26300</c:v>
                </c:pt>
                <c:pt idx="10">
                  <c:v>11124</c:v>
                </c:pt>
                <c:pt idx="11">
                  <c:v>28200</c:v>
                </c:pt>
                <c:pt idx="12">
                  <c:v>3144</c:v>
                </c:pt>
                <c:pt idx="13">
                  <c:v>5211</c:v>
                </c:pt>
                <c:pt idx="14">
                  <c:v>18372</c:v>
                </c:pt>
                <c:pt idx="15">
                  <c:v>61480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539840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07-48C5-A9B3-E1FDC81A0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'15'!$AD$6:$AD$27</c:f>
              <c:strCache>
                <c:ptCount val="22"/>
                <c:pt idx="0">
                  <c:v>50%</c:v>
                </c:pt>
                <c:pt idx="1">
                  <c:v>96%</c:v>
                </c:pt>
                <c:pt idx="2">
                  <c:v>96%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50%</c:v>
                </c:pt>
                <c:pt idx="11">
                  <c:v>0%</c:v>
                </c:pt>
                <c:pt idx="12">
                  <c:v>83%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'15'!$D$6:$D$27</c:f>
              <c:strCache>
                <c:ptCount val="21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'15'!$AD$6:$AD$27</c:f>
              <c:numCache>
                <c:formatCode>0%</c:formatCode>
                <c:ptCount val="22"/>
                <c:pt idx="0">
                  <c:v>0.5</c:v>
                </c:pt>
                <c:pt idx="1">
                  <c:v>0.95833333333333337</c:v>
                </c:pt>
                <c:pt idx="2">
                  <c:v>0.95833333333333337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0.83333333333333337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4-4DF0-9872-71FD2E608E9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54-4DF0-9872-71FD2E608E9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'15'!$D$6:$D$27</c:f>
              <c:strCache>
                <c:ptCount val="21"/>
                <c:pt idx="0">
                  <c:v>SLIDER</c:v>
                </c:pt>
                <c:pt idx="1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FLOATING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'15'!$AE$6:$AE$27</c:f>
              <c:numCache>
                <c:formatCode>0%</c:formatCode>
                <c:ptCount val="22"/>
                <c:pt idx="0">
                  <c:v>0.39204545454545453</c:v>
                </c:pt>
                <c:pt idx="1">
                  <c:v>0.39204545454545453</c:v>
                </c:pt>
                <c:pt idx="2">
                  <c:v>0.39204545454545453</c:v>
                </c:pt>
                <c:pt idx="3">
                  <c:v>0.39204545454545453</c:v>
                </c:pt>
                <c:pt idx="4">
                  <c:v>0.39204545454545453</c:v>
                </c:pt>
                <c:pt idx="5">
                  <c:v>0.39204545454545453</c:v>
                </c:pt>
                <c:pt idx="6">
                  <c:v>0.39204545454545453</c:v>
                </c:pt>
                <c:pt idx="7">
                  <c:v>0.39204545454545453</c:v>
                </c:pt>
                <c:pt idx="8">
                  <c:v>0.39204545454545453</c:v>
                </c:pt>
                <c:pt idx="9">
                  <c:v>0.39204545454545453</c:v>
                </c:pt>
                <c:pt idx="10">
                  <c:v>0.39204545454545453</c:v>
                </c:pt>
                <c:pt idx="11">
                  <c:v>0.39204545454545453</c:v>
                </c:pt>
                <c:pt idx="12">
                  <c:v>0.39204545454545453</c:v>
                </c:pt>
                <c:pt idx="13">
                  <c:v>0.39204545454545453</c:v>
                </c:pt>
                <c:pt idx="14">
                  <c:v>0.39204545454545453</c:v>
                </c:pt>
                <c:pt idx="15">
                  <c:v>0.39204545454545453</c:v>
                </c:pt>
                <c:pt idx="16">
                  <c:v>0.39204545454545453</c:v>
                </c:pt>
                <c:pt idx="17">
                  <c:v>0.39204545454545453</c:v>
                </c:pt>
                <c:pt idx="18">
                  <c:v>0.39204545454545453</c:v>
                </c:pt>
                <c:pt idx="19">
                  <c:v>0.39204545454545453</c:v>
                </c:pt>
                <c:pt idx="20">
                  <c:v>0.39204545454545453</c:v>
                </c:pt>
                <c:pt idx="21">
                  <c:v>0.39204545454545453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54-4DF0-9872-71FD2E60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29E-479A-B221-10CE721216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9E-479A-B221-10CE72121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29E-479A-B221-10CE721216C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9E-479A-B221-10CE72121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STOPPER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'16'!$L$6:$L$27</c:f>
              <c:numCache>
                <c:formatCode>_(* #,##0_);_(* \(#,##0\);_(* "-"_);_(@_)</c:formatCode>
                <c:ptCount val="22"/>
                <c:pt idx="0">
                  <c:v>3114</c:v>
                </c:pt>
                <c:pt idx="1">
                  <c:v>9936</c:v>
                </c:pt>
                <c:pt idx="2">
                  <c:v>11704</c:v>
                </c:pt>
                <c:pt idx="3">
                  <c:v>2971</c:v>
                </c:pt>
                <c:pt idx="7">
                  <c:v>4671</c:v>
                </c:pt>
                <c:pt idx="8">
                  <c:v>125</c:v>
                </c:pt>
                <c:pt idx="12">
                  <c:v>3126</c:v>
                </c:pt>
                <c:pt idx="13">
                  <c:v>2793</c:v>
                </c:pt>
                <c:pt idx="14">
                  <c:v>18423</c:v>
                </c:pt>
                <c:pt idx="15">
                  <c:v>59956</c:v>
                </c:pt>
                <c:pt idx="21">
                  <c:v>542400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1F-4AB6-B0F1-ECC6D8450E49}"/>
            </c:ext>
          </c:extLst>
        </c:ser>
        <c:ser>
          <c:idx val="1"/>
          <c:order val="1"/>
          <c:tx>
            <c:v>계획</c:v>
          </c:tx>
          <c:cat>
            <c:strRef>
              <c:f>'16'!$D$6:$D$27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STOPPER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'16'!$J$6:$J$27</c:f>
              <c:numCache>
                <c:formatCode>_(* #,##0_);_(* \(#,##0\);_(* "-"_);_(@_)</c:formatCode>
                <c:ptCount val="22"/>
                <c:pt idx="0">
                  <c:v>3114</c:v>
                </c:pt>
                <c:pt idx="1">
                  <c:v>9936</c:v>
                </c:pt>
                <c:pt idx="2">
                  <c:v>11704</c:v>
                </c:pt>
                <c:pt idx="3">
                  <c:v>2971</c:v>
                </c:pt>
                <c:pt idx="4">
                  <c:v>11538</c:v>
                </c:pt>
                <c:pt idx="5">
                  <c:v>1050</c:v>
                </c:pt>
                <c:pt idx="6">
                  <c:v>18572</c:v>
                </c:pt>
                <c:pt idx="7">
                  <c:v>4671</c:v>
                </c:pt>
                <c:pt idx="8">
                  <c:v>125</c:v>
                </c:pt>
                <c:pt idx="9">
                  <c:v>26300</c:v>
                </c:pt>
                <c:pt idx="10">
                  <c:v>11124</c:v>
                </c:pt>
                <c:pt idx="11">
                  <c:v>28200</c:v>
                </c:pt>
                <c:pt idx="12">
                  <c:v>3126</c:v>
                </c:pt>
                <c:pt idx="13">
                  <c:v>2793</c:v>
                </c:pt>
                <c:pt idx="14">
                  <c:v>18423</c:v>
                </c:pt>
                <c:pt idx="15">
                  <c:v>59956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542400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1F-4AB6-B0F1-ECC6D8450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'16'!$AD$6:$AD$27</c:f>
              <c:strCache>
                <c:ptCount val="22"/>
                <c:pt idx="0">
                  <c:v>83%</c:v>
                </c:pt>
                <c:pt idx="1">
                  <c:v>92%</c:v>
                </c:pt>
                <c:pt idx="2">
                  <c:v>100%</c:v>
                </c:pt>
                <c:pt idx="3">
                  <c:v>75%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58%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STOPPER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'16'!$AD$6:$AD$27</c:f>
              <c:numCache>
                <c:formatCode>0%</c:formatCode>
                <c:ptCount val="22"/>
                <c:pt idx="0">
                  <c:v>0.83333333333333337</c:v>
                </c:pt>
                <c:pt idx="1">
                  <c:v>0.91666666666666663</c:v>
                </c:pt>
                <c:pt idx="2">
                  <c:v>1</c:v>
                </c:pt>
                <c:pt idx="3">
                  <c:v>0.75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0.58333333333333337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FC-4A02-897E-4BEB8FFA17B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CFC-4A02-897E-4BEB8FFA17B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STOPPER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'16'!$AE$6:$AE$27</c:f>
              <c:numCache>
                <c:formatCode>0%</c:formatCode>
                <c:ptCount val="22"/>
                <c:pt idx="0">
                  <c:v>0.41287878787878785</c:v>
                </c:pt>
                <c:pt idx="1">
                  <c:v>0.41287878787878785</c:v>
                </c:pt>
                <c:pt idx="2">
                  <c:v>0.41287878787878785</c:v>
                </c:pt>
                <c:pt idx="3">
                  <c:v>0.41287878787878785</c:v>
                </c:pt>
                <c:pt idx="4">
                  <c:v>0.41287878787878785</c:v>
                </c:pt>
                <c:pt idx="5">
                  <c:v>0.41287878787878785</c:v>
                </c:pt>
                <c:pt idx="6">
                  <c:v>0.41287878787878785</c:v>
                </c:pt>
                <c:pt idx="7">
                  <c:v>0.41287878787878785</c:v>
                </c:pt>
                <c:pt idx="8">
                  <c:v>0.41287878787878785</c:v>
                </c:pt>
                <c:pt idx="9">
                  <c:v>0.41287878787878785</c:v>
                </c:pt>
                <c:pt idx="10">
                  <c:v>0.41287878787878785</c:v>
                </c:pt>
                <c:pt idx="11">
                  <c:v>0.41287878787878785</c:v>
                </c:pt>
                <c:pt idx="12">
                  <c:v>0.41287878787878785</c:v>
                </c:pt>
                <c:pt idx="13">
                  <c:v>0.41287878787878785</c:v>
                </c:pt>
                <c:pt idx="14">
                  <c:v>0.41287878787878785</c:v>
                </c:pt>
                <c:pt idx="15">
                  <c:v>0.41287878787878785</c:v>
                </c:pt>
                <c:pt idx="16">
                  <c:v>0.41287878787878785</c:v>
                </c:pt>
                <c:pt idx="17">
                  <c:v>0.41287878787878785</c:v>
                </c:pt>
                <c:pt idx="18">
                  <c:v>0.41287878787878785</c:v>
                </c:pt>
                <c:pt idx="19">
                  <c:v>0.41287878787878785</c:v>
                </c:pt>
                <c:pt idx="20">
                  <c:v>0.41287878787878785</c:v>
                </c:pt>
                <c:pt idx="21">
                  <c:v>0.41287878787878785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FC-4A02-897E-4BEB8FFA1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STOPPER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'16'!$L$6:$L$27</c:f>
              <c:numCache>
                <c:formatCode>_(* #,##0_);_(* \(#,##0\);_(* "-"_);_(@_)</c:formatCode>
                <c:ptCount val="22"/>
                <c:pt idx="0">
                  <c:v>3114</c:v>
                </c:pt>
                <c:pt idx="1">
                  <c:v>9936</c:v>
                </c:pt>
                <c:pt idx="2">
                  <c:v>11704</c:v>
                </c:pt>
                <c:pt idx="3">
                  <c:v>2971</c:v>
                </c:pt>
                <c:pt idx="7">
                  <c:v>4671</c:v>
                </c:pt>
                <c:pt idx="8">
                  <c:v>125</c:v>
                </c:pt>
                <c:pt idx="12">
                  <c:v>3126</c:v>
                </c:pt>
                <c:pt idx="13">
                  <c:v>2793</c:v>
                </c:pt>
                <c:pt idx="14">
                  <c:v>18423</c:v>
                </c:pt>
                <c:pt idx="15">
                  <c:v>59956</c:v>
                </c:pt>
                <c:pt idx="21">
                  <c:v>542400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4-4556-B5CE-B446776613A4}"/>
            </c:ext>
          </c:extLst>
        </c:ser>
        <c:ser>
          <c:idx val="1"/>
          <c:order val="1"/>
          <c:tx>
            <c:v>계획</c:v>
          </c:tx>
          <c:cat>
            <c:strRef>
              <c:f>'16'!$D$6:$D$27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STOPPER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'16'!$J$6:$J$27</c:f>
              <c:numCache>
                <c:formatCode>_(* #,##0_);_(* \(#,##0\);_(* "-"_);_(@_)</c:formatCode>
                <c:ptCount val="22"/>
                <c:pt idx="0">
                  <c:v>3114</c:v>
                </c:pt>
                <c:pt idx="1">
                  <c:v>9936</c:v>
                </c:pt>
                <c:pt idx="2">
                  <c:v>11704</c:v>
                </c:pt>
                <c:pt idx="3">
                  <c:v>2971</c:v>
                </c:pt>
                <c:pt idx="4">
                  <c:v>11538</c:v>
                </c:pt>
                <c:pt idx="5">
                  <c:v>1050</c:v>
                </c:pt>
                <c:pt idx="6">
                  <c:v>18572</c:v>
                </c:pt>
                <c:pt idx="7">
                  <c:v>4671</c:v>
                </c:pt>
                <c:pt idx="8">
                  <c:v>125</c:v>
                </c:pt>
                <c:pt idx="9">
                  <c:v>26300</c:v>
                </c:pt>
                <c:pt idx="10">
                  <c:v>11124</c:v>
                </c:pt>
                <c:pt idx="11">
                  <c:v>28200</c:v>
                </c:pt>
                <c:pt idx="12">
                  <c:v>3126</c:v>
                </c:pt>
                <c:pt idx="13">
                  <c:v>2793</c:v>
                </c:pt>
                <c:pt idx="14">
                  <c:v>18423</c:v>
                </c:pt>
                <c:pt idx="15">
                  <c:v>59956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542400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34-4556-B5CE-B44677661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'16'!$AD$6:$AD$27</c:f>
              <c:strCache>
                <c:ptCount val="22"/>
                <c:pt idx="0">
                  <c:v>83%</c:v>
                </c:pt>
                <c:pt idx="1">
                  <c:v>92%</c:v>
                </c:pt>
                <c:pt idx="2">
                  <c:v>100%</c:v>
                </c:pt>
                <c:pt idx="3">
                  <c:v>75%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58%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STOPPER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'16'!$AD$6:$AD$27</c:f>
              <c:numCache>
                <c:formatCode>0%</c:formatCode>
                <c:ptCount val="22"/>
                <c:pt idx="0">
                  <c:v>0.83333333333333337</c:v>
                </c:pt>
                <c:pt idx="1">
                  <c:v>0.91666666666666663</c:v>
                </c:pt>
                <c:pt idx="2">
                  <c:v>1</c:v>
                </c:pt>
                <c:pt idx="3">
                  <c:v>0.75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0.58333333333333337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8-478D-8BC6-DD877CE9958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98-478D-8BC6-DD877CE995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BOTTOM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STOPPER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'16'!$AE$6:$AE$27</c:f>
              <c:numCache>
                <c:formatCode>0%</c:formatCode>
                <c:ptCount val="22"/>
                <c:pt idx="0">
                  <c:v>0.41287878787878785</c:v>
                </c:pt>
                <c:pt idx="1">
                  <c:v>0.41287878787878785</c:v>
                </c:pt>
                <c:pt idx="2">
                  <c:v>0.41287878787878785</c:v>
                </c:pt>
                <c:pt idx="3">
                  <c:v>0.41287878787878785</c:v>
                </c:pt>
                <c:pt idx="4">
                  <c:v>0.41287878787878785</c:v>
                </c:pt>
                <c:pt idx="5">
                  <c:v>0.41287878787878785</c:v>
                </c:pt>
                <c:pt idx="6">
                  <c:v>0.41287878787878785</c:v>
                </c:pt>
                <c:pt idx="7">
                  <c:v>0.41287878787878785</c:v>
                </c:pt>
                <c:pt idx="8">
                  <c:v>0.41287878787878785</c:v>
                </c:pt>
                <c:pt idx="9">
                  <c:v>0.41287878787878785</c:v>
                </c:pt>
                <c:pt idx="10">
                  <c:v>0.41287878787878785</c:v>
                </c:pt>
                <c:pt idx="11">
                  <c:v>0.41287878787878785</c:v>
                </c:pt>
                <c:pt idx="12">
                  <c:v>0.41287878787878785</c:v>
                </c:pt>
                <c:pt idx="13">
                  <c:v>0.41287878787878785</c:v>
                </c:pt>
                <c:pt idx="14">
                  <c:v>0.41287878787878785</c:v>
                </c:pt>
                <c:pt idx="15">
                  <c:v>0.41287878787878785</c:v>
                </c:pt>
                <c:pt idx="16">
                  <c:v>0.41287878787878785</c:v>
                </c:pt>
                <c:pt idx="17">
                  <c:v>0.41287878787878785</c:v>
                </c:pt>
                <c:pt idx="18">
                  <c:v>0.41287878787878785</c:v>
                </c:pt>
                <c:pt idx="19">
                  <c:v>0.41287878787878785</c:v>
                </c:pt>
                <c:pt idx="20">
                  <c:v>0.41287878787878785</c:v>
                </c:pt>
                <c:pt idx="21">
                  <c:v>0.41287878787878785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98-478D-8BC6-DD877CE99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C7C-4F58-8D30-98F82EDA23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C-4F58-8D30-98F82EDA2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C7C-4F58-8D30-98F82EDA23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7C-4F58-8D30-98F82EDA2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'17'!$L$6:$L$27</c:f>
              <c:numCache>
                <c:formatCode>_(* #,##0_);_(* \(#,##0\);_(* "-"_);_(@_)</c:formatCode>
                <c:ptCount val="22"/>
                <c:pt idx="0">
                  <c:v>637</c:v>
                </c:pt>
                <c:pt idx="1">
                  <c:v>5780</c:v>
                </c:pt>
                <c:pt idx="2">
                  <c:v>11584</c:v>
                </c:pt>
                <c:pt idx="3">
                  <c:v>5225</c:v>
                </c:pt>
                <c:pt idx="5">
                  <c:v>3813</c:v>
                </c:pt>
                <c:pt idx="6">
                  <c:v>5282</c:v>
                </c:pt>
                <c:pt idx="7">
                  <c:v>3420</c:v>
                </c:pt>
                <c:pt idx="12">
                  <c:v>1040</c:v>
                </c:pt>
                <c:pt idx="13">
                  <c:v>5059</c:v>
                </c:pt>
                <c:pt idx="14">
                  <c:v>10182</c:v>
                </c:pt>
                <c:pt idx="15">
                  <c:v>61580</c:v>
                </c:pt>
                <c:pt idx="21">
                  <c:v>544128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E-46A9-8F09-3848EB1DA989}"/>
            </c:ext>
          </c:extLst>
        </c:ser>
        <c:ser>
          <c:idx val="1"/>
          <c:order val="1"/>
          <c:tx>
            <c:v>계획</c:v>
          </c:tx>
          <c:cat>
            <c:strRef>
              <c:f>'17'!$D$6:$D$27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'17'!$J$6:$J$27</c:f>
              <c:numCache>
                <c:formatCode>_(* #,##0_);_(* \(#,##0\);_(* "-"_);_(@_)</c:formatCode>
                <c:ptCount val="22"/>
                <c:pt idx="0">
                  <c:v>637</c:v>
                </c:pt>
                <c:pt idx="1">
                  <c:v>5780</c:v>
                </c:pt>
                <c:pt idx="2">
                  <c:v>11584</c:v>
                </c:pt>
                <c:pt idx="3">
                  <c:v>5225</c:v>
                </c:pt>
                <c:pt idx="4">
                  <c:v>11538</c:v>
                </c:pt>
                <c:pt idx="5">
                  <c:v>3813</c:v>
                </c:pt>
                <c:pt idx="6">
                  <c:v>5282</c:v>
                </c:pt>
                <c:pt idx="7">
                  <c:v>3420</c:v>
                </c:pt>
                <c:pt idx="8">
                  <c:v>125</c:v>
                </c:pt>
                <c:pt idx="9">
                  <c:v>26300</c:v>
                </c:pt>
                <c:pt idx="10">
                  <c:v>11124</c:v>
                </c:pt>
                <c:pt idx="11">
                  <c:v>28200</c:v>
                </c:pt>
                <c:pt idx="12">
                  <c:v>1040</c:v>
                </c:pt>
                <c:pt idx="13">
                  <c:v>5059</c:v>
                </c:pt>
                <c:pt idx="14">
                  <c:v>10182</c:v>
                </c:pt>
                <c:pt idx="15">
                  <c:v>61580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544128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1E-46A9-8F09-3848EB1DA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'17'!$AD$6:$AD$27</c:f>
              <c:strCache>
                <c:ptCount val="22"/>
                <c:pt idx="0">
                  <c:v>21%</c:v>
                </c:pt>
                <c:pt idx="1">
                  <c:v>50%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63%</c:v>
                </c:pt>
                <c:pt idx="6">
                  <c:v>54%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54%</c:v>
                </c:pt>
                <c:pt idx="13">
                  <c:v>100%</c:v>
                </c:pt>
                <c:pt idx="14">
                  <c:v>58%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'17'!$AD$6:$AD$27</c:f>
              <c:numCache>
                <c:formatCode>0%</c:formatCode>
                <c:ptCount val="22"/>
                <c:pt idx="0">
                  <c:v>0.20833333333333334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0.625</c:v>
                </c:pt>
                <c:pt idx="6">
                  <c:v>0.54166666666666663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0.54166666666666663</c:v>
                </c:pt>
                <c:pt idx="13">
                  <c:v>1</c:v>
                </c:pt>
                <c:pt idx="14">
                  <c:v>0.58333333333333337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5-48AD-B611-EA858F7AB82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C5-48AD-B611-EA858F7AB82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'17'!$AE$6:$AE$27</c:f>
              <c:numCache>
                <c:formatCode>0%</c:formatCode>
                <c:ptCount val="22"/>
                <c:pt idx="0">
                  <c:v>0.40340909090909088</c:v>
                </c:pt>
                <c:pt idx="1">
                  <c:v>0.40340909090909088</c:v>
                </c:pt>
                <c:pt idx="2">
                  <c:v>0.40340909090909088</c:v>
                </c:pt>
                <c:pt idx="3">
                  <c:v>0.40340909090909088</c:v>
                </c:pt>
                <c:pt idx="4">
                  <c:v>0.40340909090909088</c:v>
                </c:pt>
                <c:pt idx="5">
                  <c:v>0.40340909090909088</c:v>
                </c:pt>
                <c:pt idx="6">
                  <c:v>0.40340909090909088</c:v>
                </c:pt>
                <c:pt idx="7">
                  <c:v>0.40340909090909088</c:v>
                </c:pt>
                <c:pt idx="8">
                  <c:v>0.40340909090909088</c:v>
                </c:pt>
                <c:pt idx="9">
                  <c:v>0.40340909090909088</c:v>
                </c:pt>
                <c:pt idx="10">
                  <c:v>0.40340909090909088</c:v>
                </c:pt>
                <c:pt idx="11">
                  <c:v>0.40340909090909088</c:v>
                </c:pt>
                <c:pt idx="12">
                  <c:v>0.40340909090909088</c:v>
                </c:pt>
                <c:pt idx="13">
                  <c:v>0.40340909090909088</c:v>
                </c:pt>
                <c:pt idx="14">
                  <c:v>0.40340909090909088</c:v>
                </c:pt>
                <c:pt idx="15">
                  <c:v>0.40340909090909088</c:v>
                </c:pt>
                <c:pt idx="16">
                  <c:v>0.40340909090909088</c:v>
                </c:pt>
                <c:pt idx="17">
                  <c:v>0.40340909090909088</c:v>
                </c:pt>
                <c:pt idx="18">
                  <c:v>0.40340909090909088</c:v>
                </c:pt>
                <c:pt idx="19">
                  <c:v>0.40340909090909088</c:v>
                </c:pt>
                <c:pt idx="20">
                  <c:v>0.40340909090909088</c:v>
                </c:pt>
                <c:pt idx="21">
                  <c:v>0.40340909090909088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C5-48AD-B611-EA858F7AB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'17'!$L$6:$L$27</c:f>
              <c:numCache>
                <c:formatCode>_(* #,##0_);_(* \(#,##0\);_(* "-"_);_(@_)</c:formatCode>
                <c:ptCount val="22"/>
                <c:pt idx="0">
                  <c:v>637</c:v>
                </c:pt>
                <c:pt idx="1">
                  <c:v>5780</c:v>
                </c:pt>
                <c:pt idx="2">
                  <c:v>11584</c:v>
                </c:pt>
                <c:pt idx="3">
                  <c:v>5225</c:v>
                </c:pt>
                <c:pt idx="5">
                  <c:v>3813</c:v>
                </c:pt>
                <c:pt idx="6">
                  <c:v>5282</c:v>
                </c:pt>
                <c:pt idx="7">
                  <c:v>3420</c:v>
                </c:pt>
                <c:pt idx="12">
                  <c:v>1040</c:v>
                </c:pt>
                <c:pt idx="13">
                  <c:v>5059</c:v>
                </c:pt>
                <c:pt idx="14">
                  <c:v>10182</c:v>
                </c:pt>
                <c:pt idx="15">
                  <c:v>61580</c:v>
                </c:pt>
                <c:pt idx="21">
                  <c:v>544128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8-4764-B835-6C1E46800CFB}"/>
            </c:ext>
          </c:extLst>
        </c:ser>
        <c:ser>
          <c:idx val="1"/>
          <c:order val="1"/>
          <c:tx>
            <c:v>계획</c:v>
          </c:tx>
          <c:cat>
            <c:strRef>
              <c:f>'17'!$D$6:$D$27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'17'!$J$6:$J$27</c:f>
              <c:numCache>
                <c:formatCode>_(* #,##0_);_(* \(#,##0\);_(* "-"_);_(@_)</c:formatCode>
                <c:ptCount val="22"/>
                <c:pt idx="0">
                  <c:v>637</c:v>
                </c:pt>
                <c:pt idx="1">
                  <c:v>5780</c:v>
                </c:pt>
                <c:pt idx="2">
                  <c:v>11584</c:v>
                </c:pt>
                <c:pt idx="3">
                  <c:v>5225</c:v>
                </c:pt>
                <c:pt idx="4">
                  <c:v>11538</c:v>
                </c:pt>
                <c:pt idx="5">
                  <c:v>3813</c:v>
                </c:pt>
                <c:pt idx="6">
                  <c:v>5282</c:v>
                </c:pt>
                <c:pt idx="7">
                  <c:v>3420</c:v>
                </c:pt>
                <c:pt idx="8">
                  <c:v>125</c:v>
                </c:pt>
                <c:pt idx="9">
                  <c:v>26300</c:v>
                </c:pt>
                <c:pt idx="10">
                  <c:v>11124</c:v>
                </c:pt>
                <c:pt idx="11">
                  <c:v>28200</c:v>
                </c:pt>
                <c:pt idx="12">
                  <c:v>1040</c:v>
                </c:pt>
                <c:pt idx="13">
                  <c:v>5059</c:v>
                </c:pt>
                <c:pt idx="14">
                  <c:v>10182</c:v>
                </c:pt>
                <c:pt idx="15">
                  <c:v>61580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544128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8-4764-B835-6C1E46800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'17'!$AD$6:$AD$27</c:f>
              <c:strCache>
                <c:ptCount val="22"/>
                <c:pt idx="0">
                  <c:v>21%</c:v>
                </c:pt>
                <c:pt idx="1">
                  <c:v>50%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63%</c:v>
                </c:pt>
                <c:pt idx="6">
                  <c:v>54%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54%</c:v>
                </c:pt>
                <c:pt idx="13">
                  <c:v>100%</c:v>
                </c:pt>
                <c:pt idx="14">
                  <c:v>58%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'17'!$AD$6:$AD$27</c:f>
              <c:numCache>
                <c:formatCode>0%</c:formatCode>
                <c:ptCount val="22"/>
                <c:pt idx="0">
                  <c:v>0.20833333333333334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0.625</c:v>
                </c:pt>
                <c:pt idx="6">
                  <c:v>0.54166666666666663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0.54166666666666663</c:v>
                </c:pt>
                <c:pt idx="13">
                  <c:v>1</c:v>
                </c:pt>
                <c:pt idx="14">
                  <c:v>0.58333333333333337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1D-483A-BD75-AE0B325CDC2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1D-483A-BD75-AE0B325CDC2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'17'!$AE$6:$AE$27</c:f>
              <c:numCache>
                <c:formatCode>0%</c:formatCode>
                <c:ptCount val="22"/>
                <c:pt idx="0">
                  <c:v>0.40340909090909088</c:v>
                </c:pt>
                <c:pt idx="1">
                  <c:v>0.40340909090909088</c:v>
                </c:pt>
                <c:pt idx="2">
                  <c:v>0.40340909090909088</c:v>
                </c:pt>
                <c:pt idx="3">
                  <c:v>0.40340909090909088</c:v>
                </c:pt>
                <c:pt idx="4">
                  <c:v>0.40340909090909088</c:v>
                </c:pt>
                <c:pt idx="5">
                  <c:v>0.40340909090909088</c:v>
                </c:pt>
                <c:pt idx="6">
                  <c:v>0.40340909090909088</c:v>
                </c:pt>
                <c:pt idx="7">
                  <c:v>0.40340909090909088</c:v>
                </c:pt>
                <c:pt idx="8">
                  <c:v>0.40340909090909088</c:v>
                </c:pt>
                <c:pt idx="9">
                  <c:v>0.40340909090909088</c:v>
                </c:pt>
                <c:pt idx="10">
                  <c:v>0.40340909090909088</c:v>
                </c:pt>
                <c:pt idx="11">
                  <c:v>0.40340909090909088</c:v>
                </c:pt>
                <c:pt idx="12">
                  <c:v>0.40340909090909088</c:v>
                </c:pt>
                <c:pt idx="13">
                  <c:v>0.40340909090909088</c:v>
                </c:pt>
                <c:pt idx="14">
                  <c:v>0.40340909090909088</c:v>
                </c:pt>
                <c:pt idx="15">
                  <c:v>0.40340909090909088</c:v>
                </c:pt>
                <c:pt idx="16">
                  <c:v>0.40340909090909088</c:v>
                </c:pt>
                <c:pt idx="17">
                  <c:v>0.40340909090909088</c:v>
                </c:pt>
                <c:pt idx="18">
                  <c:v>0.40340909090909088</c:v>
                </c:pt>
                <c:pt idx="19">
                  <c:v>0.40340909090909088</c:v>
                </c:pt>
                <c:pt idx="20">
                  <c:v>0.40340909090909088</c:v>
                </c:pt>
                <c:pt idx="21">
                  <c:v>0.40340909090909088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1D-483A-BD75-AE0B325CD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05F-4441-9F76-9AD4CE1F4A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5F-4441-9F76-9AD4CE1F4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05F-4441-9F76-9AD4CE1F4AE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5F-4441-9F76-9AD4CE1F4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'18'!$L$6:$L$27</c:f>
              <c:numCache>
                <c:formatCode>_(* #,##0_);_(* \(#,##0\);_(* "-"_);_(@_)</c:formatCode>
                <c:ptCount val="22"/>
                <c:pt idx="2">
                  <c:v>3806</c:v>
                </c:pt>
                <c:pt idx="3">
                  <c:v>1886</c:v>
                </c:pt>
                <c:pt idx="5">
                  <c:v>2076</c:v>
                </c:pt>
                <c:pt idx="7">
                  <c:v>1671</c:v>
                </c:pt>
                <c:pt idx="8">
                  <c:v>186</c:v>
                </c:pt>
                <c:pt idx="10">
                  <c:v>466</c:v>
                </c:pt>
                <c:pt idx="12">
                  <c:v>466</c:v>
                </c:pt>
                <c:pt idx="13">
                  <c:v>1902</c:v>
                </c:pt>
                <c:pt idx="14">
                  <c:v>400</c:v>
                </c:pt>
                <c:pt idx="15">
                  <c:v>19568</c:v>
                </c:pt>
                <c:pt idx="21">
                  <c:v>185984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F-4AE4-9A34-8FAC9B74EA0B}"/>
            </c:ext>
          </c:extLst>
        </c:ser>
        <c:ser>
          <c:idx val="1"/>
          <c:order val="1"/>
          <c:tx>
            <c:v>계획</c:v>
          </c:tx>
          <c:cat>
            <c:strRef>
              <c:f>'18'!$D$6:$D$27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'18'!$J$6:$J$27</c:f>
              <c:numCache>
                <c:formatCode>_(* #,##0_);_(* \(#,##0\);_(* "-"_);_(@_)</c:formatCode>
                <c:ptCount val="22"/>
                <c:pt idx="0">
                  <c:v>637</c:v>
                </c:pt>
                <c:pt idx="1">
                  <c:v>5780</c:v>
                </c:pt>
                <c:pt idx="2">
                  <c:v>3806</c:v>
                </c:pt>
                <c:pt idx="3">
                  <c:v>1886</c:v>
                </c:pt>
                <c:pt idx="4">
                  <c:v>11538</c:v>
                </c:pt>
                <c:pt idx="5">
                  <c:v>2076</c:v>
                </c:pt>
                <c:pt idx="6">
                  <c:v>5282</c:v>
                </c:pt>
                <c:pt idx="7">
                  <c:v>1671</c:v>
                </c:pt>
                <c:pt idx="8">
                  <c:v>186</c:v>
                </c:pt>
                <c:pt idx="9">
                  <c:v>26300</c:v>
                </c:pt>
                <c:pt idx="10">
                  <c:v>466</c:v>
                </c:pt>
                <c:pt idx="11">
                  <c:v>28200</c:v>
                </c:pt>
                <c:pt idx="12">
                  <c:v>466</c:v>
                </c:pt>
                <c:pt idx="13">
                  <c:v>1902</c:v>
                </c:pt>
                <c:pt idx="14">
                  <c:v>400</c:v>
                </c:pt>
                <c:pt idx="15">
                  <c:v>19568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185984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F-4AE4-9A34-8FAC9B74E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29%</c:v>
                </c:pt>
                <c:pt idx="3">
                  <c:v>29%</c:v>
                </c:pt>
                <c:pt idx="4">
                  <c:v>0%</c:v>
                </c:pt>
                <c:pt idx="5">
                  <c:v>29%</c:v>
                </c:pt>
                <c:pt idx="6">
                  <c:v>0%</c:v>
                </c:pt>
                <c:pt idx="7">
                  <c:v>29%</c:v>
                </c:pt>
                <c:pt idx="8">
                  <c:v>21%</c:v>
                </c:pt>
                <c:pt idx="9">
                  <c:v>0%</c:v>
                </c:pt>
                <c:pt idx="10">
                  <c:v>13%</c:v>
                </c:pt>
                <c:pt idx="11">
                  <c:v>0%</c:v>
                </c:pt>
                <c:pt idx="12">
                  <c:v>25%</c:v>
                </c:pt>
                <c:pt idx="13">
                  <c:v>29%</c:v>
                </c:pt>
                <c:pt idx="14">
                  <c:v>29%</c:v>
                </c:pt>
                <c:pt idx="15">
                  <c:v>29%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29%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'18'!$AD$6:$AD$27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0.29166666666666669</c:v>
                </c:pt>
                <c:pt idx="3">
                  <c:v>0.29166666666666669</c:v>
                </c:pt>
                <c:pt idx="4">
                  <c:v>0</c:v>
                </c:pt>
                <c:pt idx="5">
                  <c:v>0.29166666666666669</c:v>
                </c:pt>
                <c:pt idx="6">
                  <c:v>0</c:v>
                </c:pt>
                <c:pt idx="7">
                  <c:v>0.29166666666666669</c:v>
                </c:pt>
                <c:pt idx="8">
                  <c:v>0.20833333333333334</c:v>
                </c:pt>
                <c:pt idx="9">
                  <c:v>0</c:v>
                </c:pt>
                <c:pt idx="10">
                  <c:v>0.125</c:v>
                </c:pt>
                <c:pt idx="11">
                  <c:v>0</c:v>
                </c:pt>
                <c:pt idx="12">
                  <c:v>0.25</c:v>
                </c:pt>
                <c:pt idx="13">
                  <c:v>0.29166666666666669</c:v>
                </c:pt>
                <c:pt idx="14">
                  <c:v>0.29166666666666669</c:v>
                </c:pt>
                <c:pt idx="15">
                  <c:v>0.29166666666666669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0.29166666666666669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4E3F-9E7A-563F46C7506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04-4E3F-9E7A-563F46C7506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'18'!$AE$6:$AE$27</c:f>
              <c:numCache>
                <c:formatCode>0%</c:formatCode>
                <c:ptCount val="22"/>
                <c:pt idx="0">
                  <c:v>0.13257575757575754</c:v>
                </c:pt>
                <c:pt idx="1">
                  <c:v>0.13257575757575754</c:v>
                </c:pt>
                <c:pt idx="2">
                  <c:v>0.13257575757575754</c:v>
                </c:pt>
                <c:pt idx="3">
                  <c:v>0.13257575757575754</c:v>
                </c:pt>
                <c:pt idx="4">
                  <c:v>0.13257575757575754</c:v>
                </c:pt>
                <c:pt idx="5">
                  <c:v>0.13257575757575754</c:v>
                </c:pt>
                <c:pt idx="6">
                  <c:v>0.13257575757575754</c:v>
                </c:pt>
                <c:pt idx="7">
                  <c:v>0.13257575757575754</c:v>
                </c:pt>
                <c:pt idx="8">
                  <c:v>0.13257575757575754</c:v>
                </c:pt>
                <c:pt idx="9">
                  <c:v>0.13257575757575754</c:v>
                </c:pt>
                <c:pt idx="10">
                  <c:v>0.13257575757575754</c:v>
                </c:pt>
                <c:pt idx="11">
                  <c:v>0.13257575757575754</c:v>
                </c:pt>
                <c:pt idx="12">
                  <c:v>0.13257575757575754</c:v>
                </c:pt>
                <c:pt idx="13">
                  <c:v>0.13257575757575754</c:v>
                </c:pt>
                <c:pt idx="14">
                  <c:v>0.13257575757575754</c:v>
                </c:pt>
                <c:pt idx="15">
                  <c:v>0.13257575757575754</c:v>
                </c:pt>
                <c:pt idx="16">
                  <c:v>0.13257575757575754</c:v>
                </c:pt>
                <c:pt idx="17">
                  <c:v>0.13257575757575754</c:v>
                </c:pt>
                <c:pt idx="18">
                  <c:v>0.13257575757575754</c:v>
                </c:pt>
                <c:pt idx="19">
                  <c:v>0.13257575757575754</c:v>
                </c:pt>
                <c:pt idx="20">
                  <c:v>0.13257575757575754</c:v>
                </c:pt>
                <c:pt idx="21">
                  <c:v>0.13257575757575754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04-4E3F-9E7A-563F46C75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'18'!$L$6:$L$27</c:f>
              <c:numCache>
                <c:formatCode>_(* #,##0_);_(* \(#,##0\);_(* "-"_);_(@_)</c:formatCode>
                <c:ptCount val="22"/>
                <c:pt idx="2">
                  <c:v>3806</c:v>
                </c:pt>
                <c:pt idx="3">
                  <c:v>1886</c:v>
                </c:pt>
                <c:pt idx="5">
                  <c:v>2076</c:v>
                </c:pt>
                <c:pt idx="7">
                  <c:v>1671</c:v>
                </c:pt>
                <c:pt idx="8">
                  <c:v>186</c:v>
                </c:pt>
                <c:pt idx="10">
                  <c:v>466</c:v>
                </c:pt>
                <c:pt idx="12">
                  <c:v>466</c:v>
                </c:pt>
                <c:pt idx="13">
                  <c:v>1902</c:v>
                </c:pt>
                <c:pt idx="14">
                  <c:v>400</c:v>
                </c:pt>
                <c:pt idx="15">
                  <c:v>19568</c:v>
                </c:pt>
                <c:pt idx="21">
                  <c:v>185984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F-40AA-ADDD-8BCD064AD477}"/>
            </c:ext>
          </c:extLst>
        </c:ser>
        <c:ser>
          <c:idx val="1"/>
          <c:order val="1"/>
          <c:tx>
            <c:v>계획</c:v>
          </c:tx>
          <c:cat>
            <c:strRef>
              <c:f>'18'!$D$6:$D$27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'18'!$J$6:$J$27</c:f>
              <c:numCache>
                <c:formatCode>_(* #,##0_);_(* \(#,##0\);_(* "-"_);_(@_)</c:formatCode>
                <c:ptCount val="22"/>
                <c:pt idx="0">
                  <c:v>637</c:v>
                </c:pt>
                <c:pt idx="1">
                  <c:v>5780</c:v>
                </c:pt>
                <c:pt idx="2">
                  <c:v>3806</c:v>
                </c:pt>
                <c:pt idx="3">
                  <c:v>1886</c:v>
                </c:pt>
                <c:pt idx="4">
                  <c:v>11538</c:v>
                </c:pt>
                <c:pt idx="5">
                  <c:v>2076</c:v>
                </c:pt>
                <c:pt idx="6">
                  <c:v>5282</c:v>
                </c:pt>
                <c:pt idx="7">
                  <c:v>1671</c:v>
                </c:pt>
                <c:pt idx="8">
                  <c:v>186</c:v>
                </c:pt>
                <c:pt idx="9">
                  <c:v>26300</c:v>
                </c:pt>
                <c:pt idx="10">
                  <c:v>466</c:v>
                </c:pt>
                <c:pt idx="11">
                  <c:v>28200</c:v>
                </c:pt>
                <c:pt idx="12">
                  <c:v>466</c:v>
                </c:pt>
                <c:pt idx="13">
                  <c:v>1902</c:v>
                </c:pt>
                <c:pt idx="14">
                  <c:v>400</c:v>
                </c:pt>
                <c:pt idx="15">
                  <c:v>19568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185984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8F-40AA-ADDD-8BCD064AD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29%</c:v>
                </c:pt>
                <c:pt idx="3">
                  <c:v>29%</c:v>
                </c:pt>
                <c:pt idx="4">
                  <c:v>0%</c:v>
                </c:pt>
                <c:pt idx="5">
                  <c:v>29%</c:v>
                </c:pt>
                <c:pt idx="6">
                  <c:v>0%</c:v>
                </c:pt>
                <c:pt idx="7">
                  <c:v>29%</c:v>
                </c:pt>
                <c:pt idx="8">
                  <c:v>21%</c:v>
                </c:pt>
                <c:pt idx="9">
                  <c:v>0%</c:v>
                </c:pt>
                <c:pt idx="10">
                  <c:v>13%</c:v>
                </c:pt>
                <c:pt idx="11">
                  <c:v>0%</c:v>
                </c:pt>
                <c:pt idx="12">
                  <c:v>25%</c:v>
                </c:pt>
                <c:pt idx="13">
                  <c:v>29%</c:v>
                </c:pt>
                <c:pt idx="14">
                  <c:v>29%</c:v>
                </c:pt>
                <c:pt idx="15">
                  <c:v>29%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29%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'18'!$AD$6:$AD$27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0.29166666666666669</c:v>
                </c:pt>
                <c:pt idx="3">
                  <c:v>0.29166666666666669</c:v>
                </c:pt>
                <c:pt idx="4">
                  <c:v>0</c:v>
                </c:pt>
                <c:pt idx="5">
                  <c:v>0.29166666666666669</c:v>
                </c:pt>
                <c:pt idx="6">
                  <c:v>0</c:v>
                </c:pt>
                <c:pt idx="7">
                  <c:v>0.29166666666666669</c:v>
                </c:pt>
                <c:pt idx="8">
                  <c:v>0.20833333333333334</c:v>
                </c:pt>
                <c:pt idx="9">
                  <c:v>0</c:v>
                </c:pt>
                <c:pt idx="10">
                  <c:v>0.125</c:v>
                </c:pt>
                <c:pt idx="11">
                  <c:v>0</c:v>
                </c:pt>
                <c:pt idx="12">
                  <c:v>0.25</c:v>
                </c:pt>
                <c:pt idx="13">
                  <c:v>0.29166666666666669</c:v>
                </c:pt>
                <c:pt idx="14">
                  <c:v>0.29166666666666669</c:v>
                </c:pt>
                <c:pt idx="15">
                  <c:v>0.29166666666666669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0.29166666666666669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3-42DF-B8E3-178DA1B3087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C73-42DF-B8E3-178DA1B308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3">
                  <c:v>SLIDER</c:v>
                </c:pt>
                <c:pt idx="5">
                  <c:v>LEAD GUIDE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'18'!$AE$6:$AE$27</c:f>
              <c:numCache>
                <c:formatCode>0%</c:formatCode>
                <c:ptCount val="22"/>
                <c:pt idx="0">
                  <c:v>0.13257575757575754</c:v>
                </c:pt>
                <c:pt idx="1">
                  <c:v>0.13257575757575754</c:v>
                </c:pt>
                <c:pt idx="2">
                  <c:v>0.13257575757575754</c:v>
                </c:pt>
                <c:pt idx="3">
                  <c:v>0.13257575757575754</c:v>
                </c:pt>
                <c:pt idx="4">
                  <c:v>0.13257575757575754</c:v>
                </c:pt>
                <c:pt idx="5">
                  <c:v>0.13257575757575754</c:v>
                </c:pt>
                <c:pt idx="6">
                  <c:v>0.13257575757575754</c:v>
                </c:pt>
                <c:pt idx="7">
                  <c:v>0.13257575757575754</c:v>
                </c:pt>
                <c:pt idx="8">
                  <c:v>0.13257575757575754</c:v>
                </c:pt>
                <c:pt idx="9">
                  <c:v>0.13257575757575754</c:v>
                </c:pt>
                <c:pt idx="10">
                  <c:v>0.13257575757575754</c:v>
                </c:pt>
                <c:pt idx="11">
                  <c:v>0.13257575757575754</c:v>
                </c:pt>
                <c:pt idx="12">
                  <c:v>0.13257575757575754</c:v>
                </c:pt>
                <c:pt idx="13">
                  <c:v>0.13257575757575754</c:v>
                </c:pt>
                <c:pt idx="14">
                  <c:v>0.13257575757575754</c:v>
                </c:pt>
                <c:pt idx="15">
                  <c:v>0.13257575757575754</c:v>
                </c:pt>
                <c:pt idx="16">
                  <c:v>0.13257575757575754</c:v>
                </c:pt>
                <c:pt idx="17">
                  <c:v>0.13257575757575754</c:v>
                </c:pt>
                <c:pt idx="18">
                  <c:v>0.13257575757575754</c:v>
                </c:pt>
                <c:pt idx="19">
                  <c:v>0.13257575757575754</c:v>
                </c:pt>
                <c:pt idx="20">
                  <c:v>0.13257575757575754</c:v>
                </c:pt>
                <c:pt idx="21">
                  <c:v>0.13257575757575754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73-42DF-B8E3-178DA1B3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D82-4C3C-809F-81DFA84C57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82-4C3C-809F-81DFA84C5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D82-4C3C-809F-81DFA84C570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82-4C3C-809F-81DFA84C5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'21'!$L$6:$L$27</c:f>
              <c:numCache>
                <c:formatCode>_(* #,##0_);_(* \(#,##0\);_(* "-"_);_(@_)</c:formatCode>
                <c:ptCount val="22"/>
                <c:pt idx="2">
                  <c:v>11592</c:v>
                </c:pt>
                <c:pt idx="4">
                  <c:v>1600</c:v>
                </c:pt>
                <c:pt idx="5">
                  <c:v>12786</c:v>
                </c:pt>
                <c:pt idx="7">
                  <c:v>3899</c:v>
                </c:pt>
                <c:pt idx="12">
                  <c:v>1636</c:v>
                </c:pt>
                <c:pt idx="13">
                  <c:v>873</c:v>
                </c:pt>
                <c:pt idx="14">
                  <c:v>8280</c:v>
                </c:pt>
                <c:pt idx="15">
                  <c:v>54948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9-4733-906B-10A7FEA5F163}"/>
            </c:ext>
          </c:extLst>
        </c:ser>
        <c:ser>
          <c:idx val="1"/>
          <c:order val="1"/>
          <c:tx>
            <c:v>계획</c:v>
          </c:tx>
          <c:cat>
            <c:strRef>
              <c:f>'21'!$D$6:$D$27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'21'!$J$6:$J$27</c:f>
              <c:numCache>
                <c:formatCode>_(* #,##0_);_(* \(#,##0\);_(* "-"_);_(@_)</c:formatCode>
                <c:ptCount val="22"/>
                <c:pt idx="0">
                  <c:v>637</c:v>
                </c:pt>
                <c:pt idx="1">
                  <c:v>5780</c:v>
                </c:pt>
                <c:pt idx="2">
                  <c:v>11592</c:v>
                </c:pt>
                <c:pt idx="3">
                  <c:v>1886</c:v>
                </c:pt>
                <c:pt idx="4">
                  <c:v>1600</c:v>
                </c:pt>
                <c:pt idx="5">
                  <c:v>12786</c:v>
                </c:pt>
                <c:pt idx="6">
                  <c:v>5282</c:v>
                </c:pt>
                <c:pt idx="7">
                  <c:v>3899</c:v>
                </c:pt>
                <c:pt idx="8">
                  <c:v>186</c:v>
                </c:pt>
                <c:pt idx="9">
                  <c:v>26300</c:v>
                </c:pt>
                <c:pt idx="10">
                  <c:v>466</c:v>
                </c:pt>
                <c:pt idx="11">
                  <c:v>28200</c:v>
                </c:pt>
                <c:pt idx="12">
                  <c:v>1636</c:v>
                </c:pt>
                <c:pt idx="13">
                  <c:v>873</c:v>
                </c:pt>
                <c:pt idx="14">
                  <c:v>8280</c:v>
                </c:pt>
                <c:pt idx="15">
                  <c:v>54948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9-4733-906B-10A7FEA5F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33%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54%</c:v>
                </c:pt>
                <c:pt idx="14">
                  <c:v>88%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0.33333333333333331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0.54166666666666663</c:v>
                </c:pt>
                <c:pt idx="14">
                  <c:v>0.875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4-49B0-AECC-F6EA8D38011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64-49B0-AECC-F6EA8D38011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'21'!$AE$6:$AE$27</c:f>
              <c:numCache>
                <c:formatCode>0%</c:formatCode>
                <c:ptCount val="22"/>
                <c:pt idx="0">
                  <c:v>0.34469696969696967</c:v>
                </c:pt>
                <c:pt idx="1">
                  <c:v>0.34469696969696967</c:v>
                </c:pt>
                <c:pt idx="2">
                  <c:v>0.34469696969696967</c:v>
                </c:pt>
                <c:pt idx="3">
                  <c:v>0.34469696969696967</c:v>
                </c:pt>
                <c:pt idx="4">
                  <c:v>0.34469696969696967</c:v>
                </c:pt>
                <c:pt idx="5">
                  <c:v>0.34469696969696967</c:v>
                </c:pt>
                <c:pt idx="6">
                  <c:v>0.34469696969696967</c:v>
                </c:pt>
                <c:pt idx="7">
                  <c:v>0.34469696969696967</c:v>
                </c:pt>
                <c:pt idx="8">
                  <c:v>0.34469696969696967</c:v>
                </c:pt>
                <c:pt idx="9">
                  <c:v>0.34469696969696967</c:v>
                </c:pt>
                <c:pt idx="10">
                  <c:v>0.34469696969696967</c:v>
                </c:pt>
                <c:pt idx="11">
                  <c:v>0.34469696969696967</c:v>
                </c:pt>
                <c:pt idx="12">
                  <c:v>0.34469696969696967</c:v>
                </c:pt>
                <c:pt idx="13">
                  <c:v>0.34469696969696967</c:v>
                </c:pt>
                <c:pt idx="14">
                  <c:v>0.34469696969696967</c:v>
                </c:pt>
                <c:pt idx="15">
                  <c:v>0.34469696969696967</c:v>
                </c:pt>
                <c:pt idx="16">
                  <c:v>0.34469696969696967</c:v>
                </c:pt>
                <c:pt idx="17">
                  <c:v>0.34469696969696967</c:v>
                </c:pt>
                <c:pt idx="18">
                  <c:v>0.34469696969696967</c:v>
                </c:pt>
                <c:pt idx="19">
                  <c:v>0.34469696969696967</c:v>
                </c:pt>
                <c:pt idx="20">
                  <c:v>0.34469696969696967</c:v>
                </c:pt>
                <c:pt idx="21">
                  <c:v>0.34469696969696967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64-49B0-AECC-F6EA8D380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'21'!$L$6:$L$27</c:f>
              <c:numCache>
                <c:formatCode>_(* #,##0_);_(* \(#,##0\);_(* "-"_);_(@_)</c:formatCode>
                <c:ptCount val="22"/>
                <c:pt idx="2">
                  <c:v>11592</c:v>
                </c:pt>
                <c:pt idx="4">
                  <c:v>1600</c:v>
                </c:pt>
                <c:pt idx="5">
                  <c:v>12786</c:v>
                </c:pt>
                <c:pt idx="7">
                  <c:v>3899</c:v>
                </c:pt>
                <c:pt idx="12">
                  <c:v>1636</c:v>
                </c:pt>
                <c:pt idx="13">
                  <c:v>873</c:v>
                </c:pt>
                <c:pt idx="14">
                  <c:v>8280</c:v>
                </c:pt>
                <c:pt idx="15">
                  <c:v>54948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26-4362-ACFE-CBADE7A657BE}"/>
            </c:ext>
          </c:extLst>
        </c:ser>
        <c:ser>
          <c:idx val="1"/>
          <c:order val="1"/>
          <c:tx>
            <c:v>계획</c:v>
          </c:tx>
          <c:cat>
            <c:strRef>
              <c:f>'21'!$D$6:$D$27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'21'!$J$6:$J$27</c:f>
              <c:numCache>
                <c:formatCode>_(* #,##0_);_(* \(#,##0\);_(* "-"_);_(@_)</c:formatCode>
                <c:ptCount val="22"/>
                <c:pt idx="0">
                  <c:v>637</c:v>
                </c:pt>
                <c:pt idx="1">
                  <c:v>5780</c:v>
                </c:pt>
                <c:pt idx="2">
                  <c:v>11592</c:v>
                </c:pt>
                <c:pt idx="3">
                  <c:v>1886</c:v>
                </c:pt>
                <c:pt idx="4">
                  <c:v>1600</c:v>
                </c:pt>
                <c:pt idx="5">
                  <c:v>12786</c:v>
                </c:pt>
                <c:pt idx="6">
                  <c:v>5282</c:v>
                </c:pt>
                <c:pt idx="7">
                  <c:v>3899</c:v>
                </c:pt>
                <c:pt idx="8">
                  <c:v>186</c:v>
                </c:pt>
                <c:pt idx="9">
                  <c:v>26300</c:v>
                </c:pt>
                <c:pt idx="10">
                  <c:v>466</c:v>
                </c:pt>
                <c:pt idx="11">
                  <c:v>28200</c:v>
                </c:pt>
                <c:pt idx="12">
                  <c:v>1636</c:v>
                </c:pt>
                <c:pt idx="13">
                  <c:v>873</c:v>
                </c:pt>
                <c:pt idx="14">
                  <c:v>8280</c:v>
                </c:pt>
                <c:pt idx="15">
                  <c:v>54948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26-4362-ACFE-CBADE7A65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33%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54%</c:v>
                </c:pt>
                <c:pt idx="14">
                  <c:v>88%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0.33333333333333331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0.54166666666666663</c:v>
                </c:pt>
                <c:pt idx="14">
                  <c:v>0.875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58-4EE2-BA5C-1D099DC09BA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58-4EE2-BA5C-1D099DC09BA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12*12 TOP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'21'!$AE$6:$AE$27</c:f>
              <c:numCache>
                <c:formatCode>0%</c:formatCode>
                <c:ptCount val="22"/>
                <c:pt idx="0">
                  <c:v>0.34469696969696967</c:v>
                </c:pt>
                <c:pt idx="1">
                  <c:v>0.34469696969696967</c:v>
                </c:pt>
                <c:pt idx="2">
                  <c:v>0.34469696969696967</c:v>
                </c:pt>
                <c:pt idx="3">
                  <c:v>0.34469696969696967</c:v>
                </c:pt>
                <c:pt idx="4">
                  <c:v>0.34469696969696967</c:v>
                </c:pt>
                <c:pt idx="5">
                  <c:v>0.34469696969696967</c:v>
                </c:pt>
                <c:pt idx="6">
                  <c:v>0.34469696969696967</c:v>
                </c:pt>
                <c:pt idx="7">
                  <c:v>0.34469696969696967</c:v>
                </c:pt>
                <c:pt idx="8">
                  <c:v>0.34469696969696967</c:v>
                </c:pt>
                <c:pt idx="9">
                  <c:v>0.34469696969696967</c:v>
                </c:pt>
                <c:pt idx="10">
                  <c:v>0.34469696969696967</c:v>
                </c:pt>
                <c:pt idx="11">
                  <c:v>0.34469696969696967</c:v>
                </c:pt>
                <c:pt idx="12">
                  <c:v>0.34469696969696967</c:v>
                </c:pt>
                <c:pt idx="13">
                  <c:v>0.34469696969696967</c:v>
                </c:pt>
                <c:pt idx="14">
                  <c:v>0.34469696969696967</c:v>
                </c:pt>
                <c:pt idx="15">
                  <c:v>0.34469696969696967</c:v>
                </c:pt>
                <c:pt idx="16">
                  <c:v>0.34469696969696967</c:v>
                </c:pt>
                <c:pt idx="17">
                  <c:v>0.34469696969696967</c:v>
                </c:pt>
                <c:pt idx="18">
                  <c:v>0.34469696969696967</c:v>
                </c:pt>
                <c:pt idx="19">
                  <c:v>0.34469696969696967</c:v>
                </c:pt>
                <c:pt idx="20">
                  <c:v>0.34469696969696967</c:v>
                </c:pt>
                <c:pt idx="21">
                  <c:v>0.34469696969696967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58-4EE2-BA5C-1D099DC09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EB6-4FA1-91FA-A5ED595DAB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B6-4FA1-91FA-A5ED595DA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EB6-4FA1-91FA-A5ED595DAB0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B6-4FA1-91FA-A5ED595DA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'22'!$L$6:$L$27</c:f>
              <c:numCache>
                <c:formatCode>_(* #,##0_);_(* \(#,##0\);_(* "-"_);_(@_)</c:formatCode>
                <c:ptCount val="22"/>
                <c:pt idx="2">
                  <c:v>10224</c:v>
                </c:pt>
                <c:pt idx="4">
                  <c:v>7450</c:v>
                </c:pt>
                <c:pt idx="5">
                  <c:v>13622</c:v>
                </c:pt>
                <c:pt idx="7">
                  <c:v>4759</c:v>
                </c:pt>
                <c:pt idx="11">
                  <c:v>10938</c:v>
                </c:pt>
                <c:pt idx="12">
                  <c:v>10388</c:v>
                </c:pt>
                <c:pt idx="15">
                  <c:v>60520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A1-4318-9865-DBADF7FC06E8}"/>
            </c:ext>
          </c:extLst>
        </c:ser>
        <c:ser>
          <c:idx val="1"/>
          <c:order val="1"/>
          <c:tx>
            <c:v>계획</c:v>
          </c:tx>
          <c:cat>
            <c:strRef>
              <c:f>'22'!$D$6:$D$27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'22'!$J$6:$J$27</c:f>
              <c:numCache>
                <c:formatCode>_(* #,##0_);_(* \(#,##0\);_(* "-"_);_(@_)</c:formatCode>
                <c:ptCount val="22"/>
                <c:pt idx="0">
                  <c:v>637</c:v>
                </c:pt>
                <c:pt idx="1">
                  <c:v>5780</c:v>
                </c:pt>
                <c:pt idx="2">
                  <c:v>10224</c:v>
                </c:pt>
                <c:pt idx="3">
                  <c:v>1886</c:v>
                </c:pt>
                <c:pt idx="4">
                  <c:v>7450</c:v>
                </c:pt>
                <c:pt idx="5">
                  <c:v>13622</c:v>
                </c:pt>
                <c:pt idx="6">
                  <c:v>5282</c:v>
                </c:pt>
                <c:pt idx="7">
                  <c:v>4759</c:v>
                </c:pt>
                <c:pt idx="8">
                  <c:v>186</c:v>
                </c:pt>
                <c:pt idx="9">
                  <c:v>26300</c:v>
                </c:pt>
                <c:pt idx="10">
                  <c:v>466</c:v>
                </c:pt>
                <c:pt idx="11">
                  <c:v>10938</c:v>
                </c:pt>
                <c:pt idx="12">
                  <c:v>10388</c:v>
                </c:pt>
                <c:pt idx="13">
                  <c:v>873</c:v>
                </c:pt>
                <c:pt idx="14">
                  <c:v>8280</c:v>
                </c:pt>
                <c:pt idx="15">
                  <c:v>60520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1-4318-9865-DBADF7FC0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75%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75%</c:v>
                </c:pt>
                <c:pt idx="12">
                  <c:v>83%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0.75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0.75</c:v>
                </c:pt>
                <c:pt idx="12">
                  <c:v>0.83333333333333337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99-444B-AADA-51FD49F2BF0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99-444B-AADA-51FD49F2BF0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'22'!$AE$6:$AE$27</c:f>
              <c:numCache>
                <c:formatCode>0%</c:formatCode>
                <c:ptCount val="22"/>
                <c:pt idx="0">
                  <c:v>0.28787878787878785</c:v>
                </c:pt>
                <c:pt idx="1">
                  <c:v>0.28787878787878785</c:v>
                </c:pt>
                <c:pt idx="2">
                  <c:v>0.28787878787878785</c:v>
                </c:pt>
                <c:pt idx="3">
                  <c:v>0.28787878787878785</c:v>
                </c:pt>
                <c:pt idx="4">
                  <c:v>0.28787878787878785</c:v>
                </c:pt>
                <c:pt idx="5">
                  <c:v>0.28787878787878785</c:v>
                </c:pt>
                <c:pt idx="6">
                  <c:v>0.28787878787878785</c:v>
                </c:pt>
                <c:pt idx="7">
                  <c:v>0.28787878787878785</c:v>
                </c:pt>
                <c:pt idx="8">
                  <c:v>0.28787878787878785</c:v>
                </c:pt>
                <c:pt idx="9">
                  <c:v>0.28787878787878785</c:v>
                </c:pt>
                <c:pt idx="10">
                  <c:v>0.28787878787878785</c:v>
                </c:pt>
                <c:pt idx="11">
                  <c:v>0.28787878787878785</c:v>
                </c:pt>
                <c:pt idx="12">
                  <c:v>0.28787878787878785</c:v>
                </c:pt>
                <c:pt idx="13">
                  <c:v>0.28787878787878785</c:v>
                </c:pt>
                <c:pt idx="14">
                  <c:v>0.28787878787878785</c:v>
                </c:pt>
                <c:pt idx="15">
                  <c:v>0.28787878787878785</c:v>
                </c:pt>
                <c:pt idx="16">
                  <c:v>0.28787878787878785</c:v>
                </c:pt>
                <c:pt idx="17">
                  <c:v>0.28787878787878785</c:v>
                </c:pt>
                <c:pt idx="18">
                  <c:v>0.28787878787878785</c:v>
                </c:pt>
                <c:pt idx="19">
                  <c:v>0.28787878787878785</c:v>
                </c:pt>
                <c:pt idx="20">
                  <c:v>0.28787878787878785</c:v>
                </c:pt>
                <c:pt idx="21">
                  <c:v>0.28787878787878785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99-444B-AADA-51FD49F2B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'22'!$L$6:$L$27</c:f>
              <c:numCache>
                <c:formatCode>_(* #,##0_);_(* \(#,##0\);_(* "-"_);_(@_)</c:formatCode>
                <c:ptCount val="22"/>
                <c:pt idx="2">
                  <c:v>10224</c:v>
                </c:pt>
                <c:pt idx="4">
                  <c:v>7450</c:v>
                </c:pt>
                <c:pt idx="5">
                  <c:v>13622</c:v>
                </c:pt>
                <c:pt idx="7">
                  <c:v>4759</c:v>
                </c:pt>
                <c:pt idx="11">
                  <c:v>10938</c:v>
                </c:pt>
                <c:pt idx="12">
                  <c:v>10388</c:v>
                </c:pt>
                <c:pt idx="15">
                  <c:v>60520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9F-482A-AE84-DE939D99FFF0}"/>
            </c:ext>
          </c:extLst>
        </c:ser>
        <c:ser>
          <c:idx val="1"/>
          <c:order val="1"/>
          <c:tx>
            <c:v>계획</c:v>
          </c:tx>
          <c:cat>
            <c:strRef>
              <c:f>'22'!$D$6:$D$27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'22'!$J$6:$J$27</c:f>
              <c:numCache>
                <c:formatCode>_(* #,##0_);_(* \(#,##0\);_(* "-"_);_(@_)</c:formatCode>
                <c:ptCount val="22"/>
                <c:pt idx="0">
                  <c:v>637</c:v>
                </c:pt>
                <c:pt idx="1">
                  <c:v>5780</c:v>
                </c:pt>
                <c:pt idx="2">
                  <c:v>10224</c:v>
                </c:pt>
                <c:pt idx="3">
                  <c:v>1886</c:v>
                </c:pt>
                <c:pt idx="4">
                  <c:v>7450</c:v>
                </c:pt>
                <c:pt idx="5">
                  <c:v>13622</c:v>
                </c:pt>
                <c:pt idx="6">
                  <c:v>5282</c:v>
                </c:pt>
                <c:pt idx="7">
                  <c:v>4759</c:v>
                </c:pt>
                <c:pt idx="8">
                  <c:v>186</c:v>
                </c:pt>
                <c:pt idx="9">
                  <c:v>26300</c:v>
                </c:pt>
                <c:pt idx="10">
                  <c:v>466</c:v>
                </c:pt>
                <c:pt idx="11">
                  <c:v>10938</c:v>
                </c:pt>
                <c:pt idx="12">
                  <c:v>10388</c:v>
                </c:pt>
                <c:pt idx="13">
                  <c:v>873</c:v>
                </c:pt>
                <c:pt idx="14">
                  <c:v>8280</c:v>
                </c:pt>
                <c:pt idx="15">
                  <c:v>60520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9F-482A-AE84-DE939D99F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'22'!$AD$6:$AD$27</c:f>
              <c:strCache>
                <c:ptCount val="22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75%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75%</c:v>
                </c:pt>
                <c:pt idx="12">
                  <c:v>83%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'22'!$AD$6:$AD$27</c:f>
              <c:numCache>
                <c:formatCode>0%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0.75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0.75</c:v>
                </c:pt>
                <c:pt idx="12">
                  <c:v>0.83333333333333337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0-4A86-852C-AE90C91F8EB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10-4A86-852C-AE90C91F8E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'22'!$D$6:$D$27</c:f>
              <c:strCache>
                <c:ptCount val="21"/>
                <c:pt idx="0">
                  <c:v>F/ADAPTER</c:v>
                </c:pt>
                <c:pt idx="1">
                  <c:v>SLIDER</c:v>
                </c:pt>
                <c:pt idx="2">
                  <c:v>BASE</c:v>
                </c:pt>
                <c:pt idx="3">
                  <c:v>SLIDER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'22'!$AE$6:$AE$27</c:f>
              <c:numCache>
                <c:formatCode>0%</c:formatCode>
                <c:ptCount val="22"/>
                <c:pt idx="0">
                  <c:v>0.28787878787878785</c:v>
                </c:pt>
                <c:pt idx="1">
                  <c:v>0.28787878787878785</c:v>
                </c:pt>
                <c:pt idx="2">
                  <c:v>0.28787878787878785</c:v>
                </c:pt>
                <c:pt idx="3">
                  <c:v>0.28787878787878785</c:v>
                </c:pt>
                <c:pt idx="4">
                  <c:v>0.28787878787878785</c:v>
                </c:pt>
                <c:pt idx="5">
                  <c:v>0.28787878787878785</c:v>
                </c:pt>
                <c:pt idx="6">
                  <c:v>0.28787878787878785</c:v>
                </c:pt>
                <c:pt idx="7">
                  <c:v>0.28787878787878785</c:v>
                </c:pt>
                <c:pt idx="8">
                  <c:v>0.28787878787878785</c:v>
                </c:pt>
                <c:pt idx="9">
                  <c:v>0.28787878787878785</c:v>
                </c:pt>
                <c:pt idx="10">
                  <c:v>0.28787878787878785</c:v>
                </c:pt>
                <c:pt idx="11">
                  <c:v>0.28787878787878785</c:v>
                </c:pt>
                <c:pt idx="12">
                  <c:v>0.28787878787878785</c:v>
                </c:pt>
                <c:pt idx="13">
                  <c:v>0.28787878787878785</c:v>
                </c:pt>
                <c:pt idx="14">
                  <c:v>0.28787878787878785</c:v>
                </c:pt>
                <c:pt idx="15">
                  <c:v>0.28787878787878785</c:v>
                </c:pt>
                <c:pt idx="16">
                  <c:v>0.28787878787878785</c:v>
                </c:pt>
                <c:pt idx="17">
                  <c:v>0.28787878787878785</c:v>
                </c:pt>
                <c:pt idx="18">
                  <c:v>0.28787878787878785</c:v>
                </c:pt>
                <c:pt idx="19">
                  <c:v>0.28787878787878785</c:v>
                </c:pt>
                <c:pt idx="20">
                  <c:v>0.28787878787878785</c:v>
                </c:pt>
                <c:pt idx="21">
                  <c:v>0.28787878787878785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10-4A86-852C-AE90C91F8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B0D-4760-9688-93B79F781B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0D-4760-9688-93B79F78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B0D-4760-9688-93B79F781BD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0D-4760-9688-93B79F78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LATCH C-1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'23'!$L$6:$L$27</c:f>
              <c:numCache>
                <c:formatCode>_(* #,##0_);_(* \(#,##0\);_(* "-"_);_(@_)</c:formatCode>
                <c:ptCount val="22"/>
                <c:pt idx="0">
                  <c:v>6668</c:v>
                </c:pt>
                <c:pt idx="3">
                  <c:v>1930</c:v>
                </c:pt>
                <c:pt idx="4">
                  <c:v>8614</c:v>
                </c:pt>
                <c:pt idx="5">
                  <c:v>14008</c:v>
                </c:pt>
                <c:pt idx="7">
                  <c:v>3081</c:v>
                </c:pt>
                <c:pt idx="11">
                  <c:v>14817</c:v>
                </c:pt>
                <c:pt idx="14">
                  <c:v>9526</c:v>
                </c:pt>
                <c:pt idx="15">
                  <c:v>62132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1-4332-B50B-3D2D099012F8}"/>
            </c:ext>
          </c:extLst>
        </c:ser>
        <c:ser>
          <c:idx val="1"/>
          <c:order val="1"/>
          <c:tx>
            <c:v>계획</c:v>
          </c:tx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LATCH C-1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'23'!$J$6:$J$27</c:f>
              <c:numCache>
                <c:formatCode>_(* #,##0_);_(* \(#,##0\);_(* "-"_);_(@_)</c:formatCode>
                <c:ptCount val="22"/>
                <c:pt idx="0">
                  <c:v>6668</c:v>
                </c:pt>
                <c:pt idx="1">
                  <c:v>5780</c:v>
                </c:pt>
                <c:pt idx="2">
                  <c:v>10224</c:v>
                </c:pt>
                <c:pt idx="3">
                  <c:v>1930</c:v>
                </c:pt>
                <c:pt idx="4">
                  <c:v>8614</c:v>
                </c:pt>
                <c:pt idx="5">
                  <c:v>14008</c:v>
                </c:pt>
                <c:pt idx="6">
                  <c:v>5282</c:v>
                </c:pt>
                <c:pt idx="7">
                  <c:v>3081</c:v>
                </c:pt>
                <c:pt idx="8">
                  <c:v>186</c:v>
                </c:pt>
                <c:pt idx="9">
                  <c:v>26300</c:v>
                </c:pt>
                <c:pt idx="10">
                  <c:v>466</c:v>
                </c:pt>
                <c:pt idx="11">
                  <c:v>14817</c:v>
                </c:pt>
                <c:pt idx="12">
                  <c:v>10388</c:v>
                </c:pt>
                <c:pt idx="13">
                  <c:v>873</c:v>
                </c:pt>
                <c:pt idx="14">
                  <c:v>9526</c:v>
                </c:pt>
                <c:pt idx="15">
                  <c:v>62132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1-4332-B50B-3D2D09901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'23'!$AD$6:$AD$27</c:f>
              <c:strCache>
                <c:ptCount val="22"/>
                <c:pt idx="0">
                  <c:v>67%</c:v>
                </c:pt>
                <c:pt idx="1">
                  <c:v>0%</c:v>
                </c:pt>
                <c:pt idx="2">
                  <c:v>0%</c:v>
                </c:pt>
                <c:pt idx="3">
                  <c:v>21%</c:v>
                </c:pt>
                <c:pt idx="4">
                  <c:v>75%</c:v>
                </c:pt>
                <c:pt idx="5">
                  <c:v>100%</c:v>
                </c:pt>
                <c:pt idx="6">
                  <c:v>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83%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LATCH C-1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'23'!$AD$6:$AD$27</c:f>
              <c:numCache>
                <c:formatCode>0%</c:formatCode>
                <c:ptCount val="22"/>
                <c:pt idx="0">
                  <c:v>0.66666666666666663</c:v>
                </c:pt>
                <c:pt idx="1">
                  <c:v>0</c:v>
                </c:pt>
                <c:pt idx="2">
                  <c:v>0</c:v>
                </c:pt>
                <c:pt idx="3">
                  <c:v>0.20833333333333334</c:v>
                </c:pt>
                <c:pt idx="4">
                  <c:v>0.75</c:v>
                </c:pt>
                <c:pt idx="5">
                  <c:v>1</c:v>
                </c:pt>
                <c:pt idx="6">
                  <c:v>0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0.83333333333333337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0E-454C-A0BF-4875A11301C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60E-454C-A0BF-4875A11301C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LATCH C-1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'23'!$AE$6:$AE$27</c:f>
              <c:numCache>
                <c:formatCode>0%</c:formatCode>
                <c:ptCount val="22"/>
                <c:pt idx="0">
                  <c:v>0.28598484848484851</c:v>
                </c:pt>
                <c:pt idx="1">
                  <c:v>0.28598484848484851</c:v>
                </c:pt>
                <c:pt idx="2">
                  <c:v>0.28598484848484851</c:v>
                </c:pt>
                <c:pt idx="3">
                  <c:v>0.28598484848484851</c:v>
                </c:pt>
                <c:pt idx="4">
                  <c:v>0.28598484848484851</c:v>
                </c:pt>
                <c:pt idx="5">
                  <c:v>0.28598484848484851</c:v>
                </c:pt>
                <c:pt idx="6">
                  <c:v>0.28598484848484851</c:v>
                </c:pt>
                <c:pt idx="7">
                  <c:v>0.28598484848484851</c:v>
                </c:pt>
                <c:pt idx="8">
                  <c:v>0.28598484848484851</c:v>
                </c:pt>
                <c:pt idx="9">
                  <c:v>0.28598484848484851</c:v>
                </c:pt>
                <c:pt idx="10">
                  <c:v>0.28598484848484851</c:v>
                </c:pt>
                <c:pt idx="11">
                  <c:v>0.28598484848484851</c:v>
                </c:pt>
                <c:pt idx="12">
                  <c:v>0.28598484848484851</c:v>
                </c:pt>
                <c:pt idx="13">
                  <c:v>0.28598484848484851</c:v>
                </c:pt>
                <c:pt idx="14">
                  <c:v>0.28598484848484851</c:v>
                </c:pt>
                <c:pt idx="15">
                  <c:v>0.28598484848484851</c:v>
                </c:pt>
                <c:pt idx="16">
                  <c:v>0.28598484848484851</c:v>
                </c:pt>
                <c:pt idx="17">
                  <c:v>0.28598484848484851</c:v>
                </c:pt>
                <c:pt idx="18">
                  <c:v>0.28598484848484851</c:v>
                </c:pt>
                <c:pt idx="19">
                  <c:v>0.28598484848484851</c:v>
                </c:pt>
                <c:pt idx="20">
                  <c:v>0.28598484848484851</c:v>
                </c:pt>
                <c:pt idx="21">
                  <c:v>0.28598484848484851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0E-454C-A0BF-4875A1130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LATCH C-1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'23'!$L$6:$L$27</c:f>
              <c:numCache>
                <c:formatCode>_(* #,##0_);_(* \(#,##0\);_(* "-"_);_(@_)</c:formatCode>
                <c:ptCount val="22"/>
                <c:pt idx="0">
                  <c:v>6668</c:v>
                </c:pt>
                <c:pt idx="3">
                  <c:v>1930</c:v>
                </c:pt>
                <c:pt idx="4">
                  <c:v>8614</c:v>
                </c:pt>
                <c:pt idx="5">
                  <c:v>14008</c:v>
                </c:pt>
                <c:pt idx="7">
                  <c:v>3081</c:v>
                </c:pt>
                <c:pt idx="11">
                  <c:v>14817</c:v>
                </c:pt>
                <c:pt idx="14">
                  <c:v>9526</c:v>
                </c:pt>
                <c:pt idx="15">
                  <c:v>62132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F-4B8C-AFA3-920D505EC19F}"/>
            </c:ext>
          </c:extLst>
        </c:ser>
        <c:ser>
          <c:idx val="1"/>
          <c:order val="1"/>
          <c:tx>
            <c:v>계획</c:v>
          </c:tx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LATCH C-1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'23'!$J$6:$J$27</c:f>
              <c:numCache>
                <c:formatCode>_(* #,##0_);_(* \(#,##0\);_(* "-"_);_(@_)</c:formatCode>
                <c:ptCount val="22"/>
                <c:pt idx="0">
                  <c:v>6668</c:v>
                </c:pt>
                <c:pt idx="1">
                  <c:v>5780</c:v>
                </c:pt>
                <c:pt idx="2">
                  <c:v>10224</c:v>
                </c:pt>
                <c:pt idx="3">
                  <c:v>1930</c:v>
                </c:pt>
                <c:pt idx="4">
                  <c:v>8614</c:v>
                </c:pt>
                <c:pt idx="5">
                  <c:v>14008</c:v>
                </c:pt>
                <c:pt idx="6">
                  <c:v>5282</c:v>
                </c:pt>
                <c:pt idx="7">
                  <c:v>3081</c:v>
                </c:pt>
                <c:pt idx="8">
                  <c:v>186</c:v>
                </c:pt>
                <c:pt idx="9">
                  <c:v>26300</c:v>
                </c:pt>
                <c:pt idx="10">
                  <c:v>466</c:v>
                </c:pt>
                <c:pt idx="11">
                  <c:v>14817</c:v>
                </c:pt>
                <c:pt idx="12">
                  <c:v>10388</c:v>
                </c:pt>
                <c:pt idx="13">
                  <c:v>873</c:v>
                </c:pt>
                <c:pt idx="14">
                  <c:v>9526</c:v>
                </c:pt>
                <c:pt idx="15">
                  <c:v>62132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F-4B8C-AFA3-920D505EC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'23'!$AD$6:$AD$27</c:f>
              <c:strCache>
                <c:ptCount val="22"/>
                <c:pt idx="0">
                  <c:v>67%</c:v>
                </c:pt>
                <c:pt idx="1">
                  <c:v>0%</c:v>
                </c:pt>
                <c:pt idx="2">
                  <c:v>0%</c:v>
                </c:pt>
                <c:pt idx="3">
                  <c:v>21%</c:v>
                </c:pt>
                <c:pt idx="4">
                  <c:v>75%</c:v>
                </c:pt>
                <c:pt idx="5">
                  <c:v>100%</c:v>
                </c:pt>
                <c:pt idx="6">
                  <c:v>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83%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LATCH C-1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'23'!$AD$6:$AD$27</c:f>
              <c:numCache>
                <c:formatCode>0%</c:formatCode>
                <c:ptCount val="22"/>
                <c:pt idx="0">
                  <c:v>0.66666666666666663</c:v>
                </c:pt>
                <c:pt idx="1">
                  <c:v>0</c:v>
                </c:pt>
                <c:pt idx="2">
                  <c:v>0</c:v>
                </c:pt>
                <c:pt idx="3">
                  <c:v>0.20833333333333334</c:v>
                </c:pt>
                <c:pt idx="4">
                  <c:v>0.75</c:v>
                </c:pt>
                <c:pt idx="5">
                  <c:v>1</c:v>
                </c:pt>
                <c:pt idx="6">
                  <c:v>0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0.83333333333333337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A-4CB0-A74C-319BB616618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8A-4CB0-A74C-319BB616618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'23'!$D$6:$D$27</c:f>
              <c:strCache>
                <c:ptCount val="21"/>
                <c:pt idx="0">
                  <c:v>ADAPTER</c:v>
                </c:pt>
                <c:pt idx="1">
                  <c:v>SLIDER</c:v>
                </c:pt>
                <c:pt idx="2">
                  <c:v>BASE</c:v>
                </c:pt>
                <c:pt idx="3">
                  <c:v>LATCH C-1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'23'!$AE$6:$AE$27</c:f>
              <c:numCache>
                <c:formatCode>0%</c:formatCode>
                <c:ptCount val="22"/>
                <c:pt idx="0">
                  <c:v>0.28598484848484851</c:v>
                </c:pt>
                <c:pt idx="1">
                  <c:v>0.28598484848484851</c:v>
                </c:pt>
                <c:pt idx="2">
                  <c:v>0.28598484848484851</c:v>
                </c:pt>
                <c:pt idx="3">
                  <c:v>0.28598484848484851</c:v>
                </c:pt>
                <c:pt idx="4">
                  <c:v>0.28598484848484851</c:v>
                </c:pt>
                <c:pt idx="5">
                  <c:v>0.28598484848484851</c:v>
                </c:pt>
                <c:pt idx="6">
                  <c:v>0.28598484848484851</c:v>
                </c:pt>
                <c:pt idx="7">
                  <c:v>0.28598484848484851</c:v>
                </c:pt>
                <c:pt idx="8">
                  <c:v>0.28598484848484851</c:v>
                </c:pt>
                <c:pt idx="9">
                  <c:v>0.28598484848484851</c:v>
                </c:pt>
                <c:pt idx="10">
                  <c:v>0.28598484848484851</c:v>
                </c:pt>
                <c:pt idx="11">
                  <c:v>0.28598484848484851</c:v>
                </c:pt>
                <c:pt idx="12">
                  <c:v>0.28598484848484851</c:v>
                </c:pt>
                <c:pt idx="13">
                  <c:v>0.28598484848484851</c:v>
                </c:pt>
                <c:pt idx="14">
                  <c:v>0.28598484848484851</c:v>
                </c:pt>
                <c:pt idx="15">
                  <c:v>0.28598484848484851</c:v>
                </c:pt>
                <c:pt idx="16">
                  <c:v>0.28598484848484851</c:v>
                </c:pt>
                <c:pt idx="17">
                  <c:v>0.28598484848484851</c:v>
                </c:pt>
                <c:pt idx="18">
                  <c:v>0.28598484848484851</c:v>
                </c:pt>
                <c:pt idx="19">
                  <c:v>0.28598484848484851</c:v>
                </c:pt>
                <c:pt idx="20">
                  <c:v>0.28598484848484851</c:v>
                </c:pt>
                <c:pt idx="21">
                  <c:v>0.28598484848484851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8A-4CB0-A74C-319BB6166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855-4938-823F-85A0681A23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55-4938-823F-85A0681A2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855-4938-823F-85A0681A23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55-4938-823F-85A0681A2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'24'!$D$6:$D$27</c:f>
              <c:strCache>
                <c:ptCount val="21"/>
                <c:pt idx="0">
                  <c:v>ADAPTER</c:v>
                </c:pt>
                <c:pt idx="1">
                  <c:v>PUSH PLATE</c:v>
                </c:pt>
                <c:pt idx="2">
                  <c:v>BASE</c:v>
                </c:pt>
                <c:pt idx="3">
                  <c:v>ADAPTER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'24'!$L$6:$L$27</c:f>
              <c:numCache>
                <c:formatCode>_(* #,##0_);_(* \(#,##0\);_(* "-"_);_(@_)</c:formatCode>
                <c:ptCount val="22"/>
                <c:pt idx="0">
                  <c:v>7564</c:v>
                </c:pt>
                <c:pt idx="1">
                  <c:v>4342</c:v>
                </c:pt>
                <c:pt idx="3">
                  <c:v>2933</c:v>
                </c:pt>
                <c:pt idx="5">
                  <c:v>14056</c:v>
                </c:pt>
                <c:pt idx="6">
                  <c:v>2140</c:v>
                </c:pt>
                <c:pt idx="10">
                  <c:v>2130</c:v>
                </c:pt>
                <c:pt idx="11">
                  <c:v>22167</c:v>
                </c:pt>
                <c:pt idx="12">
                  <c:v>1789</c:v>
                </c:pt>
                <c:pt idx="13">
                  <c:v>3352</c:v>
                </c:pt>
                <c:pt idx="14">
                  <c:v>10142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E7-4518-A32D-A9D50A2EF894}"/>
            </c:ext>
          </c:extLst>
        </c:ser>
        <c:ser>
          <c:idx val="1"/>
          <c:order val="1"/>
          <c:tx>
            <c:v>계획</c:v>
          </c:tx>
          <c:cat>
            <c:strRef>
              <c:f>'24'!$D$6:$D$27</c:f>
              <c:strCache>
                <c:ptCount val="21"/>
                <c:pt idx="0">
                  <c:v>ADAPTER</c:v>
                </c:pt>
                <c:pt idx="1">
                  <c:v>PUSH PLATE</c:v>
                </c:pt>
                <c:pt idx="2">
                  <c:v>BASE</c:v>
                </c:pt>
                <c:pt idx="3">
                  <c:v>ADAPTER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'24'!$J$6:$J$27</c:f>
              <c:numCache>
                <c:formatCode>_(* #,##0_);_(* \(#,##0\);_(* "-"_);_(@_)</c:formatCode>
                <c:ptCount val="22"/>
                <c:pt idx="0">
                  <c:v>7564</c:v>
                </c:pt>
                <c:pt idx="1">
                  <c:v>4342</c:v>
                </c:pt>
                <c:pt idx="2">
                  <c:v>10224</c:v>
                </c:pt>
                <c:pt idx="3">
                  <c:v>2933</c:v>
                </c:pt>
                <c:pt idx="4">
                  <c:v>8614</c:v>
                </c:pt>
                <c:pt idx="5">
                  <c:v>14056</c:v>
                </c:pt>
                <c:pt idx="6">
                  <c:v>2140</c:v>
                </c:pt>
                <c:pt idx="7">
                  <c:v>3081</c:v>
                </c:pt>
                <c:pt idx="8">
                  <c:v>186</c:v>
                </c:pt>
                <c:pt idx="9">
                  <c:v>26300</c:v>
                </c:pt>
                <c:pt idx="10">
                  <c:v>2130</c:v>
                </c:pt>
                <c:pt idx="11">
                  <c:v>22167</c:v>
                </c:pt>
                <c:pt idx="12">
                  <c:v>1789</c:v>
                </c:pt>
                <c:pt idx="13">
                  <c:v>3352</c:v>
                </c:pt>
                <c:pt idx="14">
                  <c:v>10142</c:v>
                </c:pt>
                <c:pt idx="15">
                  <c:v>62132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E7-4518-A32D-A9D50A2EF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'24'!$AD$6:$AD$27</c:f>
              <c:strCache>
                <c:ptCount val="22"/>
                <c:pt idx="0">
                  <c:v>79%</c:v>
                </c:pt>
                <c:pt idx="1">
                  <c:v>67%</c:v>
                </c:pt>
                <c:pt idx="2">
                  <c:v>0%</c:v>
                </c:pt>
                <c:pt idx="3">
                  <c:v>75%</c:v>
                </c:pt>
                <c:pt idx="4">
                  <c:v>0%</c:v>
                </c:pt>
                <c:pt idx="5">
                  <c:v>100%</c:v>
                </c:pt>
                <c:pt idx="6">
                  <c:v>58%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46%</c:v>
                </c:pt>
                <c:pt idx="11">
                  <c:v>100%</c:v>
                </c:pt>
                <c:pt idx="12">
                  <c:v>42%</c:v>
                </c:pt>
                <c:pt idx="13">
                  <c:v>83%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'24'!$D$6:$D$27</c:f>
              <c:strCache>
                <c:ptCount val="21"/>
                <c:pt idx="0">
                  <c:v>ADAPTER</c:v>
                </c:pt>
                <c:pt idx="1">
                  <c:v>PUSH PLATE</c:v>
                </c:pt>
                <c:pt idx="2">
                  <c:v>BASE</c:v>
                </c:pt>
                <c:pt idx="3">
                  <c:v>ADAPTER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'24'!$AD$6:$AD$27</c:f>
              <c:numCache>
                <c:formatCode>0%</c:formatCode>
                <c:ptCount val="22"/>
                <c:pt idx="0">
                  <c:v>0.79166666666666663</c:v>
                </c:pt>
                <c:pt idx="1">
                  <c:v>0.66666666666666663</c:v>
                </c:pt>
                <c:pt idx="2">
                  <c:v>0</c:v>
                </c:pt>
                <c:pt idx="3">
                  <c:v>0.75</c:v>
                </c:pt>
                <c:pt idx="4">
                  <c:v>0</c:v>
                </c:pt>
                <c:pt idx="5">
                  <c:v>1</c:v>
                </c:pt>
                <c:pt idx="6">
                  <c:v>0.58333333333333337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0.45833333333333331</c:v>
                </c:pt>
                <c:pt idx="11">
                  <c:v>1</c:v>
                </c:pt>
                <c:pt idx="12">
                  <c:v>0.41666666666666669</c:v>
                </c:pt>
                <c:pt idx="13">
                  <c:v>0.83333333333333337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0-4BAD-98FE-1821152BC37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E0-4BAD-98FE-1821152BC37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'24'!$D$6:$D$27</c:f>
              <c:strCache>
                <c:ptCount val="21"/>
                <c:pt idx="0">
                  <c:v>ADAPTER</c:v>
                </c:pt>
                <c:pt idx="1">
                  <c:v>PUSH PLATE</c:v>
                </c:pt>
                <c:pt idx="2">
                  <c:v>BASE</c:v>
                </c:pt>
                <c:pt idx="3">
                  <c:v>ADAPTER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'24'!$AE$6:$AE$27</c:f>
              <c:numCache>
                <c:formatCode>0%</c:formatCode>
                <c:ptCount val="22"/>
                <c:pt idx="0">
                  <c:v>0.34090909090909088</c:v>
                </c:pt>
                <c:pt idx="1">
                  <c:v>0.34090909090909088</c:v>
                </c:pt>
                <c:pt idx="2">
                  <c:v>0.34090909090909088</c:v>
                </c:pt>
                <c:pt idx="3">
                  <c:v>0.34090909090909088</c:v>
                </c:pt>
                <c:pt idx="4">
                  <c:v>0.34090909090909088</c:v>
                </c:pt>
                <c:pt idx="5">
                  <c:v>0.34090909090909088</c:v>
                </c:pt>
                <c:pt idx="6">
                  <c:v>0.34090909090909088</c:v>
                </c:pt>
                <c:pt idx="7">
                  <c:v>0.34090909090909088</c:v>
                </c:pt>
                <c:pt idx="8">
                  <c:v>0.34090909090909088</c:v>
                </c:pt>
                <c:pt idx="9">
                  <c:v>0.34090909090909088</c:v>
                </c:pt>
                <c:pt idx="10">
                  <c:v>0.34090909090909088</c:v>
                </c:pt>
                <c:pt idx="11">
                  <c:v>0.34090909090909088</c:v>
                </c:pt>
                <c:pt idx="12">
                  <c:v>0.34090909090909088</c:v>
                </c:pt>
                <c:pt idx="13">
                  <c:v>0.34090909090909088</c:v>
                </c:pt>
                <c:pt idx="14">
                  <c:v>0.34090909090909088</c:v>
                </c:pt>
                <c:pt idx="15">
                  <c:v>0.34090909090909088</c:v>
                </c:pt>
                <c:pt idx="16">
                  <c:v>0.34090909090909088</c:v>
                </c:pt>
                <c:pt idx="17">
                  <c:v>0.34090909090909088</c:v>
                </c:pt>
                <c:pt idx="18">
                  <c:v>0.34090909090909088</c:v>
                </c:pt>
                <c:pt idx="19">
                  <c:v>0.34090909090909088</c:v>
                </c:pt>
                <c:pt idx="20">
                  <c:v>0.34090909090909088</c:v>
                </c:pt>
                <c:pt idx="21">
                  <c:v>0.34090909090909088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E0-4BAD-98FE-1821152B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'24'!$D$6:$D$27</c:f>
              <c:strCache>
                <c:ptCount val="21"/>
                <c:pt idx="0">
                  <c:v>ADAPTER</c:v>
                </c:pt>
                <c:pt idx="1">
                  <c:v>PUSH PLATE</c:v>
                </c:pt>
                <c:pt idx="2">
                  <c:v>BASE</c:v>
                </c:pt>
                <c:pt idx="3">
                  <c:v>ADAPTER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'24'!$L$6:$L$27</c:f>
              <c:numCache>
                <c:formatCode>_(* #,##0_);_(* \(#,##0\);_(* "-"_);_(@_)</c:formatCode>
                <c:ptCount val="22"/>
                <c:pt idx="0">
                  <c:v>7564</c:v>
                </c:pt>
                <c:pt idx="1">
                  <c:v>4342</c:v>
                </c:pt>
                <c:pt idx="3">
                  <c:v>2933</c:v>
                </c:pt>
                <c:pt idx="5">
                  <c:v>14056</c:v>
                </c:pt>
                <c:pt idx="6">
                  <c:v>2140</c:v>
                </c:pt>
                <c:pt idx="10">
                  <c:v>2130</c:v>
                </c:pt>
                <c:pt idx="11">
                  <c:v>22167</c:v>
                </c:pt>
                <c:pt idx="12">
                  <c:v>1789</c:v>
                </c:pt>
                <c:pt idx="13">
                  <c:v>3352</c:v>
                </c:pt>
                <c:pt idx="14">
                  <c:v>10142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6B-40FD-AE70-E17B10810E77}"/>
            </c:ext>
          </c:extLst>
        </c:ser>
        <c:ser>
          <c:idx val="1"/>
          <c:order val="1"/>
          <c:tx>
            <c:v>계획</c:v>
          </c:tx>
          <c:cat>
            <c:strRef>
              <c:f>'24'!$D$6:$D$27</c:f>
              <c:strCache>
                <c:ptCount val="21"/>
                <c:pt idx="0">
                  <c:v>ADAPTER</c:v>
                </c:pt>
                <c:pt idx="1">
                  <c:v>PUSH PLATE</c:v>
                </c:pt>
                <c:pt idx="2">
                  <c:v>BASE</c:v>
                </c:pt>
                <c:pt idx="3">
                  <c:v>ADAPTER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'24'!$J$6:$J$27</c:f>
              <c:numCache>
                <c:formatCode>_(* #,##0_);_(* \(#,##0\);_(* "-"_);_(@_)</c:formatCode>
                <c:ptCount val="22"/>
                <c:pt idx="0">
                  <c:v>7564</c:v>
                </c:pt>
                <c:pt idx="1">
                  <c:v>4342</c:v>
                </c:pt>
                <c:pt idx="2">
                  <c:v>10224</c:v>
                </c:pt>
                <c:pt idx="3">
                  <c:v>2933</c:v>
                </c:pt>
                <c:pt idx="4">
                  <c:v>8614</c:v>
                </c:pt>
                <c:pt idx="5">
                  <c:v>14056</c:v>
                </c:pt>
                <c:pt idx="6">
                  <c:v>2140</c:v>
                </c:pt>
                <c:pt idx="7">
                  <c:v>3081</c:v>
                </c:pt>
                <c:pt idx="8">
                  <c:v>186</c:v>
                </c:pt>
                <c:pt idx="9">
                  <c:v>26300</c:v>
                </c:pt>
                <c:pt idx="10">
                  <c:v>2130</c:v>
                </c:pt>
                <c:pt idx="11">
                  <c:v>22167</c:v>
                </c:pt>
                <c:pt idx="12">
                  <c:v>1789</c:v>
                </c:pt>
                <c:pt idx="13">
                  <c:v>3352</c:v>
                </c:pt>
                <c:pt idx="14">
                  <c:v>10142</c:v>
                </c:pt>
                <c:pt idx="15">
                  <c:v>62132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6B-40FD-AE70-E17B10810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'24'!$AD$6:$AD$27</c:f>
              <c:strCache>
                <c:ptCount val="22"/>
                <c:pt idx="0">
                  <c:v>79%</c:v>
                </c:pt>
                <c:pt idx="1">
                  <c:v>67%</c:v>
                </c:pt>
                <c:pt idx="2">
                  <c:v>0%</c:v>
                </c:pt>
                <c:pt idx="3">
                  <c:v>75%</c:v>
                </c:pt>
                <c:pt idx="4">
                  <c:v>0%</c:v>
                </c:pt>
                <c:pt idx="5">
                  <c:v>100%</c:v>
                </c:pt>
                <c:pt idx="6">
                  <c:v>58%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46%</c:v>
                </c:pt>
                <c:pt idx="11">
                  <c:v>100%</c:v>
                </c:pt>
                <c:pt idx="12">
                  <c:v>42%</c:v>
                </c:pt>
                <c:pt idx="13">
                  <c:v>83%</c:v>
                </c:pt>
                <c:pt idx="14">
                  <c:v>100%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'24'!$D$6:$D$27</c:f>
              <c:strCache>
                <c:ptCount val="21"/>
                <c:pt idx="0">
                  <c:v>ADAPTER</c:v>
                </c:pt>
                <c:pt idx="1">
                  <c:v>PUSH PLATE</c:v>
                </c:pt>
                <c:pt idx="2">
                  <c:v>BASE</c:v>
                </c:pt>
                <c:pt idx="3">
                  <c:v>ADAPTER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'24'!$AD$6:$AD$27</c:f>
              <c:numCache>
                <c:formatCode>0%</c:formatCode>
                <c:ptCount val="22"/>
                <c:pt idx="0">
                  <c:v>0.79166666666666663</c:v>
                </c:pt>
                <c:pt idx="1">
                  <c:v>0.66666666666666663</c:v>
                </c:pt>
                <c:pt idx="2">
                  <c:v>0</c:v>
                </c:pt>
                <c:pt idx="3">
                  <c:v>0.75</c:v>
                </c:pt>
                <c:pt idx="4">
                  <c:v>0</c:v>
                </c:pt>
                <c:pt idx="5">
                  <c:v>1</c:v>
                </c:pt>
                <c:pt idx="6">
                  <c:v>0.58333333333333337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0.45833333333333331</c:v>
                </c:pt>
                <c:pt idx="11">
                  <c:v>1</c:v>
                </c:pt>
                <c:pt idx="12">
                  <c:v>0.41666666666666669</c:v>
                </c:pt>
                <c:pt idx="13">
                  <c:v>0.83333333333333337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2-4F5A-9ABD-15D74D1DA65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32-4F5A-9ABD-15D74D1DA65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'24'!$D$6:$D$27</c:f>
              <c:strCache>
                <c:ptCount val="21"/>
                <c:pt idx="0">
                  <c:v>ADAPTER</c:v>
                </c:pt>
                <c:pt idx="1">
                  <c:v>PUSH PLATE</c:v>
                </c:pt>
                <c:pt idx="2">
                  <c:v>BASE</c:v>
                </c:pt>
                <c:pt idx="3">
                  <c:v>ADAPTER</c:v>
                </c:pt>
                <c:pt idx="4">
                  <c:v>LATCH PLATE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'24'!$AE$6:$AE$27</c:f>
              <c:numCache>
                <c:formatCode>0%</c:formatCode>
                <c:ptCount val="22"/>
                <c:pt idx="0">
                  <c:v>0.34090909090909088</c:v>
                </c:pt>
                <c:pt idx="1">
                  <c:v>0.34090909090909088</c:v>
                </c:pt>
                <c:pt idx="2">
                  <c:v>0.34090909090909088</c:v>
                </c:pt>
                <c:pt idx="3">
                  <c:v>0.34090909090909088</c:v>
                </c:pt>
                <c:pt idx="4">
                  <c:v>0.34090909090909088</c:v>
                </c:pt>
                <c:pt idx="5">
                  <c:v>0.34090909090909088</c:v>
                </c:pt>
                <c:pt idx="6">
                  <c:v>0.34090909090909088</c:v>
                </c:pt>
                <c:pt idx="7">
                  <c:v>0.34090909090909088</c:v>
                </c:pt>
                <c:pt idx="8">
                  <c:v>0.34090909090909088</c:v>
                </c:pt>
                <c:pt idx="9">
                  <c:v>0.34090909090909088</c:v>
                </c:pt>
                <c:pt idx="10">
                  <c:v>0.34090909090909088</c:v>
                </c:pt>
                <c:pt idx="11">
                  <c:v>0.34090909090909088</c:v>
                </c:pt>
                <c:pt idx="12">
                  <c:v>0.34090909090909088</c:v>
                </c:pt>
                <c:pt idx="13">
                  <c:v>0.34090909090909088</c:v>
                </c:pt>
                <c:pt idx="14">
                  <c:v>0.34090909090909088</c:v>
                </c:pt>
                <c:pt idx="15">
                  <c:v>0.34090909090909088</c:v>
                </c:pt>
                <c:pt idx="16">
                  <c:v>0.34090909090909088</c:v>
                </c:pt>
                <c:pt idx="17">
                  <c:v>0.34090909090909088</c:v>
                </c:pt>
                <c:pt idx="18">
                  <c:v>0.34090909090909088</c:v>
                </c:pt>
                <c:pt idx="19">
                  <c:v>0.34090909090909088</c:v>
                </c:pt>
                <c:pt idx="20">
                  <c:v>0.34090909090909088</c:v>
                </c:pt>
                <c:pt idx="21">
                  <c:v>0.34090909090909088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32-4F5A-9ABD-15D74D1DA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F00-4AAA-B443-FDD6E58E8C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00-4AAA-B443-FDD6E58E8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F00-4AAA-B443-FDD6E58E8C2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00-4AAA-B443-FDD6E58E8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'25'!$L$6:$L$27</c:f>
              <c:numCache>
                <c:formatCode>_(* #,##0_);_(* \(#,##0\);_(* "-"_);_(@_)</c:formatCode>
                <c:ptCount val="22"/>
                <c:pt idx="0">
                  <c:v>10962</c:v>
                </c:pt>
                <c:pt idx="1">
                  <c:v>1556</c:v>
                </c:pt>
                <c:pt idx="3">
                  <c:v>5029</c:v>
                </c:pt>
                <c:pt idx="4">
                  <c:v>5410</c:v>
                </c:pt>
                <c:pt idx="5">
                  <c:v>8892</c:v>
                </c:pt>
                <c:pt idx="6">
                  <c:v>2088</c:v>
                </c:pt>
                <c:pt idx="11">
                  <c:v>21804</c:v>
                </c:pt>
                <c:pt idx="12">
                  <c:v>7588</c:v>
                </c:pt>
                <c:pt idx="13">
                  <c:v>4173</c:v>
                </c:pt>
                <c:pt idx="14">
                  <c:v>9444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F3-4F12-BD9E-0DD38ECFC3EE}"/>
            </c:ext>
          </c:extLst>
        </c:ser>
        <c:ser>
          <c:idx val="1"/>
          <c:order val="1"/>
          <c:tx>
            <c:v>계획</c:v>
          </c:tx>
          <c:cat>
            <c:strRef>
              <c:f>'25'!$D$6:$D$27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'25'!$J$6:$J$27</c:f>
              <c:numCache>
                <c:formatCode>_(* #,##0_);_(* \(#,##0\);_(* "-"_);_(@_)</c:formatCode>
                <c:ptCount val="22"/>
                <c:pt idx="0">
                  <c:v>10962</c:v>
                </c:pt>
                <c:pt idx="1">
                  <c:v>1556</c:v>
                </c:pt>
                <c:pt idx="2">
                  <c:v>10224</c:v>
                </c:pt>
                <c:pt idx="3">
                  <c:v>5029</c:v>
                </c:pt>
                <c:pt idx="4">
                  <c:v>5410</c:v>
                </c:pt>
                <c:pt idx="5">
                  <c:v>8892</c:v>
                </c:pt>
                <c:pt idx="6">
                  <c:v>2088</c:v>
                </c:pt>
                <c:pt idx="7">
                  <c:v>3081</c:v>
                </c:pt>
                <c:pt idx="8">
                  <c:v>186</c:v>
                </c:pt>
                <c:pt idx="9">
                  <c:v>26300</c:v>
                </c:pt>
                <c:pt idx="10">
                  <c:v>2130</c:v>
                </c:pt>
                <c:pt idx="11">
                  <c:v>21804</c:v>
                </c:pt>
                <c:pt idx="12">
                  <c:v>7588</c:v>
                </c:pt>
                <c:pt idx="13">
                  <c:v>4173</c:v>
                </c:pt>
                <c:pt idx="14">
                  <c:v>9444</c:v>
                </c:pt>
                <c:pt idx="15">
                  <c:v>62132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F3-4F12-BD9E-0DD38ECFC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'25'!$AD$6:$AD$27</c:f>
              <c:strCache>
                <c:ptCount val="22"/>
                <c:pt idx="0">
                  <c:v>100%</c:v>
                </c:pt>
                <c:pt idx="1">
                  <c:v>33%</c:v>
                </c:pt>
                <c:pt idx="2">
                  <c:v>0%</c:v>
                </c:pt>
                <c:pt idx="3">
                  <c:v>100%</c:v>
                </c:pt>
                <c:pt idx="4">
                  <c:v>46%</c:v>
                </c:pt>
                <c:pt idx="5">
                  <c:v>71%</c:v>
                </c:pt>
                <c:pt idx="6">
                  <c:v>46%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71%</c:v>
                </c:pt>
                <c:pt idx="13">
                  <c:v>100%</c:v>
                </c:pt>
                <c:pt idx="14">
                  <c:v>92%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'25'!$AD$6:$AD$27</c:f>
              <c:numCache>
                <c:formatCode>0%</c:formatCode>
                <c:ptCount val="22"/>
                <c:pt idx="0">
                  <c:v>1</c:v>
                </c:pt>
                <c:pt idx="1">
                  <c:v>0.33333333333333331</c:v>
                </c:pt>
                <c:pt idx="2">
                  <c:v>0</c:v>
                </c:pt>
                <c:pt idx="3">
                  <c:v>1</c:v>
                </c:pt>
                <c:pt idx="4">
                  <c:v>0.45833333333333331</c:v>
                </c:pt>
                <c:pt idx="5">
                  <c:v>0.70833333333333337</c:v>
                </c:pt>
                <c:pt idx="6">
                  <c:v>0.45833333333333331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0.70833333333333337</c:v>
                </c:pt>
                <c:pt idx="13">
                  <c:v>1</c:v>
                </c:pt>
                <c:pt idx="14">
                  <c:v>0.91666666666666663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60-4FBE-BE90-1A769064315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60-4FBE-BE90-1A769064315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'25'!$AE$6:$AE$27</c:f>
              <c:numCache>
                <c:formatCode>0%</c:formatCode>
                <c:ptCount val="22"/>
                <c:pt idx="0">
                  <c:v>0.34469696969696972</c:v>
                </c:pt>
                <c:pt idx="1">
                  <c:v>0.34469696969696972</c:v>
                </c:pt>
                <c:pt idx="2">
                  <c:v>0.34469696969696972</c:v>
                </c:pt>
                <c:pt idx="3">
                  <c:v>0.34469696969696972</c:v>
                </c:pt>
                <c:pt idx="4">
                  <c:v>0.34469696969696972</c:v>
                </c:pt>
                <c:pt idx="5">
                  <c:v>0.34469696969696972</c:v>
                </c:pt>
                <c:pt idx="6">
                  <c:v>0.34469696969696972</c:v>
                </c:pt>
                <c:pt idx="7">
                  <c:v>0.34469696969696972</c:v>
                </c:pt>
                <c:pt idx="8">
                  <c:v>0.34469696969696972</c:v>
                </c:pt>
                <c:pt idx="9">
                  <c:v>0.34469696969696972</c:v>
                </c:pt>
                <c:pt idx="10">
                  <c:v>0.34469696969696972</c:v>
                </c:pt>
                <c:pt idx="11">
                  <c:v>0.34469696969696972</c:v>
                </c:pt>
                <c:pt idx="12">
                  <c:v>0.34469696969696972</c:v>
                </c:pt>
                <c:pt idx="13">
                  <c:v>0.34469696969696972</c:v>
                </c:pt>
                <c:pt idx="14">
                  <c:v>0.34469696969696972</c:v>
                </c:pt>
                <c:pt idx="15">
                  <c:v>0.34469696969696972</c:v>
                </c:pt>
                <c:pt idx="16">
                  <c:v>0.34469696969696972</c:v>
                </c:pt>
                <c:pt idx="17">
                  <c:v>0.34469696969696972</c:v>
                </c:pt>
                <c:pt idx="18">
                  <c:v>0.34469696969696972</c:v>
                </c:pt>
                <c:pt idx="19">
                  <c:v>0.34469696969696972</c:v>
                </c:pt>
                <c:pt idx="20">
                  <c:v>0.34469696969696972</c:v>
                </c:pt>
                <c:pt idx="21">
                  <c:v>0.34469696969696972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60-4FBE-BE90-1A7690643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'25'!$L$6:$L$27</c:f>
              <c:numCache>
                <c:formatCode>_(* #,##0_);_(* \(#,##0\);_(* "-"_);_(@_)</c:formatCode>
                <c:ptCount val="22"/>
                <c:pt idx="0">
                  <c:v>10962</c:v>
                </c:pt>
                <c:pt idx="1">
                  <c:v>1556</c:v>
                </c:pt>
                <c:pt idx="3">
                  <c:v>5029</c:v>
                </c:pt>
                <c:pt idx="4">
                  <c:v>5410</c:v>
                </c:pt>
                <c:pt idx="5">
                  <c:v>8892</c:v>
                </c:pt>
                <c:pt idx="6">
                  <c:v>2088</c:v>
                </c:pt>
                <c:pt idx="11">
                  <c:v>21804</c:v>
                </c:pt>
                <c:pt idx="12">
                  <c:v>7588</c:v>
                </c:pt>
                <c:pt idx="13">
                  <c:v>4173</c:v>
                </c:pt>
                <c:pt idx="14">
                  <c:v>9444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5E-4501-85ED-127E19840E2F}"/>
            </c:ext>
          </c:extLst>
        </c:ser>
        <c:ser>
          <c:idx val="1"/>
          <c:order val="1"/>
          <c:tx>
            <c:v>계획</c:v>
          </c:tx>
          <c:cat>
            <c:strRef>
              <c:f>'25'!$D$6:$D$27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'25'!$J$6:$J$27</c:f>
              <c:numCache>
                <c:formatCode>_(* #,##0_);_(* \(#,##0\);_(* "-"_);_(@_)</c:formatCode>
                <c:ptCount val="22"/>
                <c:pt idx="0">
                  <c:v>10962</c:v>
                </c:pt>
                <c:pt idx="1">
                  <c:v>1556</c:v>
                </c:pt>
                <c:pt idx="2">
                  <c:v>10224</c:v>
                </c:pt>
                <c:pt idx="3">
                  <c:v>5029</c:v>
                </c:pt>
                <c:pt idx="4">
                  <c:v>5410</c:v>
                </c:pt>
                <c:pt idx="5">
                  <c:v>8892</c:v>
                </c:pt>
                <c:pt idx="6">
                  <c:v>2088</c:v>
                </c:pt>
                <c:pt idx="7">
                  <c:v>3081</c:v>
                </c:pt>
                <c:pt idx="8">
                  <c:v>186</c:v>
                </c:pt>
                <c:pt idx="9">
                  <c:v>26300</c:v>
                </c:pt>
                <c:pt idx="10">
                  <c:v>2130</c:v>
                </c:pt>
                <c:pt idx="11">
                  <c:v>21804</c:v>
                </c:pt>
                <c:pt idx="12">
                  <c:v>7588</c:v>
                </c:pt>
                <c:pt idx="13">
                  <c:v>4173</c:v>
                </c:pt>
                <c:pt idx="14">
                  <c:v>9444</c:v>
                </c:pt>
                <c:pt idx="15">
                  <c:v>62132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5E-4501-85ED-127E19840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'25'!$AD$6:$AD$27</c:f>
              <c:strCache>
                <c:ptCount val="22"/>
                <c:pt idx="0">
                  <c:v>100%</c:v>
                </c:pt>
                <c:pt idx="1">
                  <c:v>33%</c:v>
                </c:pt>
                <c:pt idx="2">
                  <c:v>0%</c:v>
                </c:pt>
                <c:pt idx="3">
                  <c:v>100%</c:v>
                </c:pt>
                <c:pt idx="4">
                  <c:v>46%</c:v>
                </c:pt>
                <c:pt idx="5">
                  <c:v>71%</c:v>
                </c:pt>
                <c:pt idx="6">
                  <c:v>46%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71%</c:v>
                </c:pt>
                <c:pt idx="13">
                  <c:v>100%</c:v>
                </c:pt>
                <c:pt idx="14">
                  <c:v>92%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'25'!$AD$6:$AD$27</c:f>
              <c:numCache>
                <c:formatCode>0%</c:formatCode>
                <c:ptCount val="22"/>
                <c:pt idx="0">
                  <c:v>1</c:v>
                </c:pt>
                <c:pt idx="1">
                  <c:v>0.33333333333333331</c:v>
                </c:pt>
                <c:pt idx="2">
                  <c:v>0</c:v>
                </c:pt>
                <c:pt idx="3">
                  <c:v>1</c:v>
                </c:pt>
                <c:pt idx="4">
                  <c:v>0.45833333333333331</c:v>
                </c:pt>
                <c:pt idx="5">
                  <c:v>0.70833333333333337</c:v>
                </c:pt>
                <c:pt idx="6">
                  <c:v>0.45833333333333331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0.70833333333333337</c:v>
                </c:pt>
                <c:pt idx="13">
                  <c:v>1</c:v>
                </c:pt>
                <c:pt idx="14">
                  <c:v>0.91666666666666663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4-4589-8F73-8A2783AFEA2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664-4589-8F73-8A2783AFEA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COVER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'25'!$AE$6:$AE$27</c:f>
              <c:numCache>
                <c:formatCode>0%</c:formatCode>
                <c:ptCount val="22"/>
                <c:pt idx="0">
                  <c:v>0.34469696969696972</c:v>
                </c:pt>
                <c:pt idx="1">
                  <c:v>0.34469696969696972</c:v>
                </c:pt>
                <c:pt idx="2">
                  <c:v>0.34469696969696972</c:v>
                </c:pt>
                <c:pt idx="3">
                  <c:v>0.34469696969696972</c:v>
                </c:pt>
                <c:pt idx="4">
                  <c:v>0.34469696969696972</c:v>
                </c:pt>
                <c:pt idx="5">
                  <c:v>0.34469696969696972</c:v>
                </c:pt>
                <c:pt idx="6">
                  <c:v>0.34469696969696972</c:v>
                </c:pt>
                <c:pt idx="7">
                  <c:v>0.34469696969696972</c:v>
                </c:pt>
                <c:pt idx="8">
                  <c:v>0.34469696969696972</c:v>
                </c:pt>
                <c:pt idx="9">
                  <c:v>0.34469696969696972</c:v>
                </c:pt>
                <c:pt idx="10">
                  <c:v>0.34469696969696972</c:v>
                </c:pt>
                <c:pt idx="11">
                  <c:v>0.34469696969696972</c:v>
                </c:pt>
                <c:pt idx="12">
                  <c:v>0.34469696969696972</c:v>
                </c:pt>
                <c:pt idx="13">
                  <c:v>0.34469696969696972</c:v>
                </c:pt>
                <c:pt idx="14">
                  <c:v>0.34469696969696972</c:v>
                </c:pt>
                <c:pt idx="15">
                  <c:v>0.34469696969696972</c:v>
                </c:pt>
                <c:pt idx="16">
                  <c:v>0.34469696969696972</c:v>
                </c:pt>
                <c:pt idx="17">
                  <c:v>0.34469696969696972</c:v>
                </c:pt>
                <c:pt idx="18">
                  <c:v>0.34469696969696972</c:v>
                </c:pt>
                <c:pt idx="19">
                  <c:v>0.34469696969696972</c:v>
                </c:pt>
                <c:pt idx="20">
                  <c:v>0.34469696969696972</c:v>
                </c:pt>
                <c:pt idx="21">
                  <c:v>0.34469696969696972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64-4589-8F73-8A2783AFE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9F9-421C-ADD0-9477D65095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F9-421C-ADD0-9477D6509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9F9-421C-ADD0-9477D65095A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F9-421C-ADD0-9477D6509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'26'!$L$6:$L$27</c:f>
              <c:numCache>
                <c:formatCode>_(* #,##0_);_(* \(#,##0\);_(* "-"_);_(@_)</c:formatCode>
                <c:ptCount val="22"/>
                <c:pt idx="0">
                  <c:v>11122</c:v>
                </c:pt>
                <c:pt idx="2">
                  <c:v>11212</c:v>
                </c:pt>
                <c:pt idx="6">
                  <c:v>3960</c:v>
                </c:pt>
                <c:pt idx="8">
                  <c:v>76</c:v>
                </c:pt>
                <c:pt idx="9">
                  <c:v>0</c:v>
                </c:pt>
                <c:pt idx="10">
                  <c:v>5781</c:v>
                </c:pt>
                <c:pt idx="11">
                  <c:v>13686</c:v>
                </c:pt>
                <c:pt idx="12">
                  <c:v>12212</c:v>
                </c:pt>
                <c:pt idx="14">
                  <c:v>1772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5E-4AA0-BCB2-DEF37E9B41A9}"/>
            </c:ext>
          </c:extLst>
        </c:ser>
        <c:ser>
          <c:idx val="1"/>
          <c:order val="1"/>
          <c:tx>
            <c:v>계획</c:v>
          </c:tx>
          <c:cat>
            <c:strRef>
              <c:f>'26'!$D$6:$D$27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'26'!$J$6:$J$27</c:f>
              <c:numCache>
                <c:formatCode>_(* #,##0_);_(* \(#,##0\);_(* "-"_);_(@_)</c:formatCode>
                <c:ptCount val="22"/>
                <c:pt idx="0">
                  <c:v>11122</c:v>
                </c:pt>
                <c:pt idx="1">
                  <c:v>1556</c:v>
                </c:pt>
                <c:pt idx="2">
                  <c:v>11212</c:v>
                </c:pt>
                <c:pt idx="3">
                  <c:v>5029</c:v>
                </c:pt>
                <c:pt idx="4">
                  <c:v>5410</c:v>
                </c:pt>
                <c:pt idx="5">
                  <c:v>8892</c:v>
                </c:pt>
                <c:pt idx="6">
                  <c:v>3960</c:v>
                </c:pt>
                <c:pt idx="7">
                  <c:v>3081</c:v>
                </c:pt>
                <c:pt idx="8">
                  <c:v>76</c:v>
                </c:pt>
                <c:pt idx="9">
                  <c:v>76</c:v>
                </c:pt>
                <c:pt idx="10">
                  <c:v>5780</c:v>
                </c:pt>
                <c:pt idx="11">
                  <c:v>13686</c:v>
                </c:pt>
                <c:pt idx="12">
                  <c:v>12212</c:v>
                </c:pt>
                <c:pt idx="13">
                  <c:v>4173</c:v>
                </c:pt>
                <c:pt idx="14">
                  <c:v>1772</c:v>
                </c:pt>
                <c:pt idx="15">
                  <c:v>62132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5E-4AA0-BCB2-DEF37E9B4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'26'!$AD$6:$AD$27</c:f>
              <c:strCache>
                <c:ptCount val="22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92%</c:v>
                </c:pt>
                <c:pt idx="7">
                  <c:v>0%</c:v>
                </c:pt>
                <c:pt idx="8">
                  <c:v>17%</c:v>
                </c:pt>
                <c:pt idx="9">
                  <c:v>0%</c:v>
                </c:pt>
                <c:pt idx="10">
                  <c:v>100%</c:v>
                </c:pt>
                <c:pt idx="11">
                  <c:v>79%</c:v>
                </c:pt>
                <c:pt idx="12">
                  <c:v>100%</c:v>
                </c:pt>
                <c:pt idx="13">
                  <c:v>0%</c:v>
                </c:pt>
                <c:pt idx="14">
                  <c:v>21%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'26'!$AD$6:$AD$27</c:f>
              <c:numCache>
                <c:formatCode>0%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0.91666666666666663</c:v>
                </c:pt>
                <c:pt idx="7">
                  <c:v>0</c:v>
                </c:pt>
                <c:pt idx="8">
                  <c:v>0.16666666666666666</c:v>
                </c:pt>
                <c:pt idx="9">
                  <c:v>0</c:v>
                </c:pt>
                <c:pt idx="10">
                  <c:v>1.0001730103806228</c:v>
                </c:pt>
                <c:pt idx="11">
                  <c:v>0.79166666666666663</c:v>
                </c:pt>
                <c:pt idx="12">
                  <c:v>1</c:v>
                </c:pt>
                <c:pt idx="13">
                  <c:v>0</c:v>
                </c:pt>
                <c:pt idx="14">
                  <c:v>0.20833333333333334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E-4FE5-A4DC-7BACB6A7593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3E-4FE5-A4DC-7BACB6A759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'26'!$AE$6:$AE$27</c:f>
              <c:numCache>
                <c:formatCode>0%</c:formatCode>
                <c:ptCount val="22"/>
                <c:pt idx="0">
                  <c:v>0.27652301562336162</c:v>
                </c:pt>
                <c:pt idx="1">
                  <c:v>0.27652301562336162</c:v>
                </c:pt>
                <c:pt idx="2">
                  <c:v>0.27652301562336162</c:v>
                </c:pt>
                <c:pt idx="3">
                  <c:v>0.27652301562336162</c:v>
                </c:pt>
                <c:pt idx="4">
                  <c:v>0.27652301562336162</c:v>
                </c:pt>
                <c:pt idx="5">
                  <c:v>0.27652301562336162</c:v>
                </c:pt>
                <c:pt idx="6">
                  <c:v>0.27652301562336162</c:v>
                </c:pt>
                <c:pt idx="7">
                  <c:v>0.27652301562336162</c:v>
                </c:pt>
                <c:pt idx="8">
                  <c:v>0.27652301562336162</c:v>
                </c:pt>
                <c:pt idx="9">
                  <c:v>0.27652301562336162</c:v>
                </c:pt>
                <c:pt idx="10">
                  <c:v>0.27652301562336162</c:v>
                </c:pt>
                <c:pt idx="11">
                  <c:v>0.27652301562336162</c:v>
                </c:pt>
                <c:pt idx="12">
                  <c:v>0.27652301562336162</c:v>
                </c:pt>
                <c:pt idx="13">
                  <c:v>0.27652301562336162</c:v>
                </c:pt>
                <c:pt idx="14">
                  <c:v>0.27652301562336162</c:v>
                </c:pt>
                <c:pt idx="15">
                  <c:v>0.27652301562336162</c:v>
                </c:pt>
                <c:pt idx="16">
                  <c:v>0.27652301562336162</c:v>
                </c:pt>
                <c:pt idx="17">
                  <c:v>0.27652301562336162</c:v>
                </c:pt>
                <c:pt idx="18">
                  <c:v>0.27652301562336162</c:v>
                </c:pt>
                <c:pt idx="19">
                  <c:v>0.27652301562336162</c:v>
                </c:pt>
                <c:pt idx="20">
                  <c:v>0.27652301562336162</c:v>
                </c:pt>
                <c:pt idx="21">
                  <c:v>0.27652301562336162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3E-4FE5-A4DC-7BACB6A75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'26'!$L$6:$L$27</c:f>
              <c:numCache>
                <c:formatCode>_(* #,##0_);_(* \(#,##0\);_(* "-"_);_(@_)</c:formatCode>
                <c:ptCount val="22"/>
                <c:pt idx="0">
                  <c:v>11122</c:v>
                </c:pt>
                <c:pt idx="2">
                  <c:v>11212</c:v>
                </c:pt>
                <c:pt idx="6">
                  <c:v>3960</c:v>
                </c:pt>
                <c:pt idx="8">
                  <c:v>76</c:v>
                </c:pt>
                <c:pt idx="9">
                  <c:v>0</c:v>
                </c:pt>
                <c:pt idx="10">
                  <c:v>5781</c:v>
                </c:pt>
                <c:pt idx="11">
                  <c:v>13686</c:v>
                </c:pt>
                <c:pt idx="12">
                  <c:v>12212</c:v>
                </c:pt>
                <c:pt idx="14">
                  <c:v>1772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F-49D4-98D5-9FC213E9453E}"/>
            </c:ext>
          </c:extLst>
        </c:ser>
        <c:ser>
          <c:idx val="1"/>
          <c:order val="1"/>
          <c:tx>
            <c:v>계획</c:v>
          </c:tx>
          <c:cat>
            <c:strRef>
              <c:f>'26'!$D$6:$D$27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'26'!$J$6:$J$27</c:f>
              <c:numCache>
                <c:formatCode>_(* #,##0_);_(* \(#,##0\);_(* "-"_);_(@_)</c:formatCode>
                <c:ptCount val="22"/>
                <c:pt idx="0">
                  <c:v>11122</c:v>
                </c:pt>
                <c:pt idx="1">
                  <c:v>1556</c:v>
                </c:pt>
                <c:pt idx="2">
                  <c:v>11212</c:v>
                </c:pt>
                <c:pt idx="3">
                  <c:v>5029</c:v>
                </c:pt>
                <c:pt idx="4">
                  <c:v>5410</c:v>
                </c:pt>
                <c:pt idx="5">
                  <c:v>8892</c:v>
                </c:pt>
                <c:pt idx="6">
                  <c:v>3960</c:v>
                </c:pt>
                <c:pt idx="7">
                  <c:v>3081</c:v>
                </c:pt>
                <c:pt idx="8">
                  <c:v>76</c:v>
                </c:pt>
                <c:pt idx="9">
                  <c:v>76</c:v>
                </c:pt>
                <c:pt idx="10">
                  <c:v>5780</c:v>
                </c:pt>
                <c:pt idx="11">
                  <c:v>13686</c:v>
                </c:pt>
                <c:pt idx="12">
                  <c:v>12212</c:v>
                </c:pt>
                <c:pt idx="13">
                  <c:v>4173</c:v>
                </c:pt>
                <c:pt idx="14">
                  <c:v>1772</c:v>
                </c:pt>
                <c:pt idx="15">
                  <c:v>62132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F-49D4-98D5-9FC213E94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'26'!$AD$6:$AD$27</c:f>
              <c:strCache>
                <c:ptCount val="22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92%</c:v>
                </c:pt>
                <c:pt idx="7">
                  <c:v>0%</c:v>
                </c:pt>
                <c:pt idx="8">
                  <c:v>17%</c:v>
                </c:pt>
                <c:pt idx="9">
                  <c:v>0%</c:v>
                </c:pt>
                <c:pt idx="10">
                  <c:v>100%</c:v>
                </c:pt>
                <c:pt idx="11">
                  <c:v>79%</c:v>
                </c:pt>
                <c:pt idx="12">
                  <c:v>100%</c:v>
                </c:pt>
                <c:pt idx="13">
                  <c:v>0%</c:v>
                </c:pt>
                <c:pt idx="14">
                  <c:v>21%</c:v>
                </c:pt>
                <c:pt idx="15">
                  <c:v>0%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'26'!$AD$6:$AD$27</c:f>
              <c:numCache>
                <c:formatCode>0%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0.91666666666666663</c:v>
                </c:pt>
                <c:pt idx="7">
                  <c:v>0</c:v>
                </c:pt>
                <c:pt idx="8">
                  <c:v>0.16666666666666666</c:v>
                </c:pt>
                <c:pt idx="9">
                  <c:v>0</c:v>
                </c:pt>
                <c:pt idx="10">
                  <c:v>1.0001730103806228</c:v>
                </c:pt>
                <c:pt idx="11">
                  <c:v>0.79166666666666663</c:v>
                </c:pt>
                <c:pt idx="12">
                  <c:v>1</c:v>
                </c:pt>
                <c:pt idx="13">
                  <c:v>0</c:v>
                </c:pt>
                <c:pt idx="14">
                  <c:v>0.20833333333333334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3-464A-904F-FA80A658267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83-464A-904F-FA80A65826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'26'!$AE$6:$AE$27</c:f>
              <c:numCache>
                <c:formatCode>0%</c:formatCode>
                <c:ptCount val="22"/>
                <c:pt idx="0">
                  <c:v>0.27652301562336162</c:v>
                </c:pt>
                <c:pt idx="1">
                  <c:v>0.27652301562336162</c:v>
                </c:pt>
                <c:pt idx="2">
                  <c:v>0.27652301562336162</c:v>
                </c:pt>
                <c:pt idx="3">
                  <c:v>0.27652301562336162</c:v>
                </c:pt>
                <c:pt idx="4">
                  <c:v>0.27652301562336162</c:v>
                </c:pt>
                <c:pt idx="5">
                  <c:v>0.27652301562336162</c:v>
                </c:pt>
                <c:pt idx="6">
                  <c:v>0.27652301562336162</c:v>
                </c:pt>
                <c:pt idx="7">
                  <c:v>0.27652301562336162</c:v>
                </c:pt>
                <c:pt idx="8">
                  <c:v>0.27652301562336162</c:v>
                </c:pt>
                <c:pt idx="9">
                  <c:v>0.27652301562336162</c:v>
                </c:pt>
                <c:pt idx="10">
                  <c:v>0.27652301562336162</c:v>
                </c:pt>
                <c:pt idx="11">
                  <c:v>0.27652301562336162</c:v>
                </c:pt>
                <c:pt idx="12">
                  <c:v>0.27652301562336162</c:v>
                </c:pt>
                <c:pt idx="13">
                  <c:v>0.27652301562336162</c:v>
                </c:pt>
                <c:pt idx="14">
                  <c:v>0.27652301562336162</c:v>
                </c:pt>
                <c:pt idx="15">
                  <c:v>0.27652301562336162</c:v>
                </c:pt>
                <c:pt idx="16">
                  <c:v>0.27652301562336162</c:v>
                </c:pt>
                <c:pt idx="17">
                  <c:v>0.27652301562336162</c:v>
                </c:pt>
                <c:pt idx="18">
                  <c:v>0.27652301562336162</c:v>
                </c:pt>
                <c:pt idx="19">
                  <c:v>0.27652301562336162</c:v>
                </c:pt>
                <c:pt idx="20">
                  <c:v>0.27652301562336162</c:v>
                </c:pt>
                <c:pt idx="21">
                  <c:v>0.27652301562336162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83-464A-904F-FA80A6582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00D-4DE2-8237-B5F3D3BFA5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0D-4DE2-8237-B5F3D3BFA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00D-4DE2-8237-B5F3D3BFA5F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0D-4DE2-8237-B5F3D3BFA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'28'!$L$6:$L$27</c:f>
              <c:numCache>
                <c:formatCode>_(* #,##0_);_(* \(#,##0\);_(* "-"_);_(@_)</c:formatCode>
                <c:ptCount val="22"/>
                <c:pt idx="0">
                  <c:v>10400</c:v>
                </c:pt>
                <c:pt idx="2">
                  <c:v>10752</c:v>
                </c:pt>
                <c:pt idx="5">
                  <c:v>2816</c:v>
                </c:pt>
                <c:pt idx="6">
                  <c:v>1869</c:v>
                </c:pt>
                <c:pt idx="8">
                  <c:v>535</c:v>
                </c:pt>
                <c:pt idx="12">
                  <c:v>11294</c:v>
                </c:pt>
                <c:pt idx="14">
                  <c:v>3017</c:v>
                </c:pt>
                <c:pt idx="15">
                  <c:v>27348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9-4CBD-821C-17C85BFBBF55}"/>
            </c:ext>
          </c:extLst>
        </c:ser>
        <c:ser>
          <c:idx val="1"/>
          <c:order val="1"/>
          <c:tx>
            <c:v>계획</c:v>
          </c:tx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'28'!$J$6:$J$27</c:f>
              <c:numCache>
                <c:formatCode>_(* #,##0_);_(* \(#,##0\);_(* "-"_);_(@_)</c:formatCode>
                <c:ptCount val="22"/>
                <c:pt idx="0">
                  <c:v>10400</c:v>
                </c:pt>
                <c:pt idx="1">
                  <c:v>1556</c:v>
                </c:pt>
                <c:pt idx="2">
                  <c:v>10752</c:v>
                </c:pt>
                <c:pt idx="3">
                  <c:v>5029</c:v>
                </c:pt>
                <c:pt idx="4">
                  <c:v>5410</c:v>
                </c:pt>
                <c:pt idx="5">
                  <c:v>2816</c:v>
                </c:pt>
                <c:pt idx="6">
                  <c:v>1869</c:v>
                </c:pt>
                <c:pt idx="7">
                  <c:v>3081</c:v>
                </c:pt>
                <c:pt idx="8">
                  <c:v>535</c:v>
                </c:pt>
                <c:pt idx="9">
                  <c:v>76</c:v>
                </c:pt>
                <c:pt idx="10">
                  <c:v>5780</c:v>
                </c:pt>
                <c:pt idx="11">
                  <c:v>13686</c:v>
                </c:pt>
                <c:pt idx="12">
                  <c:v>11294</c:v>
                </c:pt>
                <c:pt idx="13">
                  <c:v>3017</c:v>
                </c:pt>
                <c:pt idx="14">
                  <c:v>3017</c:v>
                </c:pt>
                <c:pt idx="15">
                  <c:v>27348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B9-4CBD-821C-17C85BFBB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'28'!$AD$6:$AD$27</c:f>
              <c:strCache>
                <c:ptCount val="22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0%</c:v>
                </c:pt>
                <c:pt idx="5">
                  <c:v>67%</c:v>
                </c:pt>
                <c:pt idx="6">
                  <c:v>54%</c:v>
                </c:pt>
                <c:pt idx="7">
                  <c:v>0%</c:v>
                </c:pt>
                <c:pt idx="8">
                  <c:v>38%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75%</c:v>
                </c:pt>
                <c:pt idx="15">
                  <c:v>46%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'28'!$AD$6:$AD$27</c:f>
              <c:numCache>
                <c:formatCode>0%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0.66666666666666663</c:v>
                </c:pt>
                <c:pt idx="6">
                  <c:v>0.54166666666666663</c:v>
                </c:pt>
                <c:pt idx="7">
                  <c:v>0</c:v>
                </c:pt>
                <c:pt idx="8">
                  <c:v>0.375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0.75</c:v>
                </c:pt>
                <c:pt idx="15">
                  <c:v>0.45833333333333331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F1-410C-BE07-4142760106B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CF1-410C-BE07-4142760106B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'28'!$AE$6:$AE$27</c:f>
              <c:numCache>
                <c:formatCode>0%</c:formatCode>
                <c:ptCount val="22"/>
                <c:pt idx="0">
                  <c:v>0.26325757575757575</c:v>
                </c:pt>
                <c:pt idx="1">
                  <c:v>0.26325757575757575</c:v>
                </c:pt>
                <c:pt idx="2">
                  <c:v>0.26325757575757575</c:v>
                </c:pt>
                <c:pt idx="3">
                  <c:v>0.26325757575757575</c:v>
                </c:pt>
                <c:pt idx="4">
                  <c:v>0.26325757575757575</c:v>
                </c:pt>
                <c:pt idx="5">
                  <c:v>0.26325757575757575</c:v>
                </c:pt>
                <c:pt idx="6">
                  <c:v>0.26325757575757575</c:v>
                </c:pt>
                <c:pt idx="7">
                  <c:v>0.26325757575757575</c:v>
                </c:pt>
                <c:pt idx="8">
                  <c:v>0.26325757575757575</c:v>
                </c:pt>
                <c:pt idx="9">
                  <c:v>0.26325757575757575</c:v>
                </c:pt>
                <c:pt idx="10">
                  <c:v>0.26325757575757575</c:v>
                </c:pt>
                <c:pt idx="11">
                  <c:v>0.26325757575757575</c:v>
                </c:pt>
                <c:pt idx="12">
                  <c:v>0.26325757575757575</c:v>
                </c:pt>
                <c:pt idx="13">
                  <c:v>0.26325757575757575</c:v>
                </c:pt>
                <c:pt idx="14">
                  <c:v>0.26325757575757575</c:v>
                </c:pt>
                <c:pt idx="15">
                  <c:v>0.26325757575757575</c:v>
                </c:pt>
                <c:pt idx="16">
                  <c:v>0.26325757575757575</c:v>
                </c:pt>
                <c:pt idx="17">
                  <c:v>0.26325757575757575</c:v>
                </c:pt>
                <c:pt idx="18">
                  <c:v>0.26325757575757575</c:v>
                </c:pt>
                <c:pt idx="19">
                  <c:v>0.26325757575757575</c:v>
                </c:pt>
                <c:pt idx="20">
                  <c:v>0.26325757575757575</c:v>
                </c:pt>
                <c:pt idx="21">
                  <c:v>0.26325757575757575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F1-410C-BE07-414276010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'28'!$L$6:$L$27</c:f>
              <c:numCache>
                <c:formatCode>_(* #,##0_);_(* \(#,##0\);_(* "-"_);_(@_)</c:formatCode>
                <c:ptCount val="22"/>
                <c:pt idx="0">
                  <c:v>10400</c:v>
                </c:pt>
                <c:pt idx="2">
                  <c:v>10752</c:v>
                </c:pt>
                <c:pt idx="5">
                  <c:v>2816</c:v>
                </c:pt>
                <c:pt idx="6">
                  <c:v>1869</c:v>
                </c:pt>
                <c:pt idx="8">
                  <c:v>535</c:v>
                </c:pt>
                <c:pt idx="12">
                  <c:v>11294</c:v>
                </c:pt>
                <c:pt idx="14">
                  <c:v>3017</c:v>
                </c:pt>
                <c:pt idx="15">
                  <c:v>27348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CB-4115-BB2C-653487C2CB6B}"/>
            </c:ext>
          </c:extLst>
        </c:ser>
        <c:ser>
          <c:idx val="1"/>
          <c:order val="1"/>
          <c:tx>
            <c:v>계획</c:v>
          </c:tx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'28'!$J$6:$J$27</c:f>
              <c:numCache>
                <c:formatCode>_(* #,##0_);_(* \(#,##0\);_(* "-"_);_(@_)</c:formatCode>
                <c:ptCount val="22"/>
                <c:pt idx="0">
                  <c:v>10400</c:v>
                </c:pt>
                <c:pt idx="1">
                  <c:v>1556</c:v>
                </c:pt>
                <c:pt idx="2">
                  <c:v>10752</c:v>
                </c:pt>
                <c:pt idx="3">
                  <c:v>5029</c:v>
                </c:pt>
                <c:pt idx="4">
                  <c:v>5410</c:v>
                </c:pt>
                <c:pt idx="5">
                  <c:v>2816</c:v>
                </c:pt>
                <c:pt idx="6">
                  <c:v>1869</c:v>
                </c:pt>
                <c:pt idx="7">
                  <c:v>3081</c:v>
                </c:pt>
                <c:pt idx="8">
                  <c:v>535</c:v>
                </c:pt>
                <c:pt idx="9">
                  <c:v>76</c:v>
                </c:pt>
                <c:pt idx="10">
                  <c:v>5780</c:v>
                </c:pt>
                <c:pt idx="11">
                  <c:v>13686</c:v>
                </c:pt>
                <c:pt idx="12">
                  <c:v>11294</c:v>
                </c:pt>
                <c:pt idx="13">
                  <c:v>3017</c:v>
                </c:pt>
                <c:pt idx="14">
                  <c:v>3017</c:v>
                </c:pt>
                <c:pt idx="15">
                  <c:v>27348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CB-4115-BB2C-653487C2C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'28'!$AD$6:$AD$27</c:f>
              <c:strCache>
                <c:ptCount val="22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0%</c:v>
                </c:pt>
                <c:pt idx="5">
                  <c:v>67%</c:v>
                </c:pt>
                <c:pt idx="6">
                  <c:v>54%</c:v>
                </c:pt>
                <c:pt idx="7">
                  <c:v>0%</c:v>
                </c:pt>
                <c:pt idx="8">
                  <c:v>38%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75%</c:v>
                </c:pt>
                <c:pt idx="15">
                  <c:v>46%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'28'!$AD$6:$AD$27</c:f>
              <c:numCache>
                <c:formatCode>0%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0.66666666666666663</c:v>
                </c:pt>
                <c:pt idx="6">
                  <c:v>0.54166666666666663</c:v>
                </c:pt>
                <c:pt idx="7">
                  <c:v>0</c:v>
                </c:pt>
                <c:pt idx="8">
                  <c:v>0.375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0.75</c:v>
                </c:pt>
                <c:pt idx="15">
                  <c:v>0.45833333333333331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2-4AFE-B02C-101FC8FDB23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5C2-4AFE-B02C-101FC8FDB2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BASE</c:v>
                </c:pt>
                <c:pt idx="14">
                  <c:v>BASE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'28'!$AE$6:$AE$27</c:f>
              <c:numCache>
                <c:formatCode>0%</c:formatCode>
                <c:ptCount val="22"/>
                <c:pt idx="0">
                  <c:v>0.26325757575757575</c:v>
                </c:pt>
                <c:pt idx="1">
                  <c:v>0.26325757575757575</c:v>
                </c:pt>
                <c:pt idx="2">
                  <c:v>0.26325757575757575</c:v>
                </c:pt>
                <c:pt idx="3">
                  <c:v>0.26325757575757575</c:v>
                </c:pt>
                <c:pt idx="4">
                  <c:v>0.26325757575757575</c:v>
                </c:pt>
                <c:pt idx="5">
                  <c:v>0.26325757575757575</c:v>
                </c:pt>
                <c:pt idx="6">
                  <c:v>0.26325757575757575</c:v>
                </c:pt>
                <c:pt idx="7">
                  <c:v>0.26325757575757575</c:v>
                </c:pt>
                <c:pt idx="8">
                  <c:v>0.26325757575757575</c:v>
                </c:pt>
                <c:pt idx="9">
                  <c:v>0.26325757575757575</c:v>
                </c:pt>
                <c:pt idx="10">
                  <c:v>0.26325757575757575</c:v>
                </c:pt>
                <c:pt idx="11">
                  <c:v>0.26325757575757575</c:v>
                </c:pt>
                <c:pt idx="12">
                  <c:v>0.26325757575757575</c:v>
                </c:pt>
                <c:pt idx="13">
                  <c:v>0.26325757575757575</c:v>
                </c:pt>
                <c:pt idx="14">
                  <c:v>0.26325757575757575</c:v>
                </c:pt>
                <c:pt idx="15">
                  <c:v>0.26325757575757575</c:v>
                </c:pt>
                <c:pt idx="16">
                  <c:v>0.26325757575757575</c:v>
                </c:pt>
                <c:pt idx="17">
                  <c:v>0.26325757575757575</c:v>
                </c:pt>
                <c:pt idx="18">
                  <c:v>0.26325757575757575</c:v>
                </c:pt>
                <c:pt idx="19">
                  <c:v>0.26325757575757575</c:v>
                </c:pt>
                <c:pt idx="20">
                  <c:v>0.26325757575757575</c:v>
                </c:pt>
                <c:pt idx="21">
                  <c:v>0.26325757575757575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C2-4AFE-B02C-101FC8FDB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261-4BBC-95FF-E9ED783DF6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61-4BBC-95FF-E9ED783DF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261-4BBC-95FF-E9ED783DF6B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61-4BBC-95FF-E9ED783DF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CARD HOUSING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'29'!$L$6:$L$27</c:f>
              <c:numCache>
                <c:formatCode>_(* #,##0_);_(* \(#,##0\);_(* "-"_);_(@_)</c:formatCode>
                <c:ptCount val="22"/>
                <c:pt idx="0">
                  <c:v>11088</c:v>
                </c:pt>
                <c:pt idx="1">
                  <c:v>1731</c:v>
                </c:pt>
                <c:pt idx="2">
                  <c:v>12072</c:v>
                </c:pt>
                <c:pt idx="5">
                  <c:v>2001</c:v>
                </c:pt>
                <c:pt idx="6">
                  <c:v>3592</c:v>
                </c:pt>
                <c:pt idx="8">
                  <c:v>313</c:v>
                </c:pt>
                <c:pt idx="12">
                  <c:v>7402</c:v>
                </c:pt>
                <c:pt idx="13">
                  <c:v>6368</c:v>
                </c:pt>
                <c:pt idx="14">
                  <c:v>3118</c:v>
                </c:pt>
                <c:pt idx="15">
                  <c:v>33480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A-4638-BC2D-D6AE6EE7FD2A}"/>
            </c:ext>
          </c:extLst>
        </c:ser>
        <c:ser>
          <c:idx val="1"/>
          <c:order val="1"/>
          <c:tx>
            <c:v>계획</c:v>
          </c:tx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CARD HOUSING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'29'!$J$6:$J$27</c:f>
              <c:numCache>
                <c:formatCode>_(* #,##0_);_(* \(#,##0\);_(* "-"_);_(@_)</c:formatCode>
                <c:ptCount val="22"/>
                <c:pt idx="0">
                  <c:v>11088</c:v>
                </c:pt>
                <c:pt idx="1">
                  <c:v>1731</c:v>
                </c:pt>
                <c:pt idx="2">
                  <c:v>12072</c:v>
                </c:pt>
                <c:pt idx="3">
                  <c:v>5029</c:v>
                </c:pt>
                <c:pt idx="4">
                  <c:v>5410</c:v>
                </c:pt>
                <c:pt idx="5">
                  <c:v>2001</c:v>
                </c:pt>
                <c:pt idx="6">
                  <c:v>3592</c:v>
                </c:pt>
                <c:pt idx="7">
                  <c:v>3081</c:v>
                </c:pt>
                <c:pt idx="8">
                  <c:v>313</c:v>
                </c:pt>
                <c:pt idx="9">
                  <c:v>76</c:v>
                </c:pt>
                <c:pt idx="10">
                  <c:v>5780</c:v>
                </c:pt>
                <c:pt idx="11">
                  <c:v>13686</c:v>
                </c:pt>
                <c:pt idx="12">
                  <c:v>7402</c:v>
                </c:pt>
                <c:pt idx="13">
                  <c:v>6368</c:v>
                </c:pt>
                <c:pt idx="14">
                  <c:v>3118</c:v>
                </c:pt>
                <c:pt idx="15">
                  <c:v>33480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A-4638-BC2D-D6AE6EE7F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'29'!$AD$6:$AD$27</c:f>
              <c:strCache>
                <c:ptCount val="22"/>
                <c:pt idx="0">
                  <c:v>100%</c:v>
                </c:pt>
                <c:pt idx="1">
                  <c:v>46%</c:v>
                </c:pt>
                <c:pt idx="2">
                  <c:v>100%</c:v>
                </c:pt>
                <c:pt idx="3">
                  <c:v>0%</c:v>
                </c:pt>
                <c:pt idx="4">
                  <c:v>0%</c:v>
                </c:pt>
                <c:pt idx="5">
                  <c:v>42%</c:v>
                </c:pt>
                <c:pt idx="6">
                  <c:v>83%</c:v>
                </c:pt>
                <c:pt idx="7">
                  <c:v>0%</c:v>
                </c:pt>
                <c:pt idx="8">
                  <c:v>29%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88%</c:v>
                </c:pt>
                <c:pt idx="14">
                  <c:v>75%</c:v>
                </c:pt>
                <c:pt idx="15">
                  <c:v>58%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CARD HOUSING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'29'!$AD$6:$AD$27</c:f>
              <c:numCache>
                <c:formatCode>0%</c:formatCode>
                <c:ptCount val="22"/>
                <c:pt idx="0">
                  <c:v>1</c:v>
                </c:pt>
                <c:pt idx="1">
                  <c:v>0.45833333333333331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0.41666666666666669</c:v>
                </c:pt>
                <c:pt idx="6">
                  <c:v>0.83333333333333337</c:v>
                </c:pt>
                <c:pt idx="7">
                  <c:v>0</c:v>
                </c:pt>
                <c:pt idx="8">
                  <c:v>0.29166666666666669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0.875</c:v>
                </c:pt>
                <c:pt idx="14">
                  <c:v>0.75</c:v>
                </c:pt>
                <c:pt idx="15">
                  <c:v>0.58333333333333337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4-462E-8B5B-C7FAB151D1D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54-462E-8B5B-C7FAB151D1D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CARD HOUSING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'29'!$AE$6:$AE$27</c:f>
              <c:numCache>
                <c:formatCode>0%</c:formatCode>
                <c:ptCount val="22"/>
                <c:pt idx="0">
                  <c:v>0.32007575757575757</c:v>
                </c:pt>
                <c:pt idx="1">
                  <c:v>0.32007575757575757</c:v>
                </c:pt>
                <c:pt idx="2">
                  <c:v>0.32007575757575757</c:v>
                </c:pt>
                <c:pt idx="3">
                  <c:v>0.32007575757575757</c:v>
                </c:pt>
                <c:pt idx="4">
                  <c:v>0.32007575757575757</c:v>
                </c:pt>
                <c:pt idx="5">
                  <c:v>0.32007575757575757</c:v>
                </c:pt>
                <c:pt idx="6">
                  <c:v>0.32007575757575757</c:v>
                </c:pt>
                <c:pt idx="7">
                  <c:v>0.32007575757575757</c:v>
                </c:pt>
                <c:pt idx="8">
                  <c:v>0.32007575757575757</c:v>
                </c:pt>
                <c:pt idx="9">
                  <c:v>0.32007575757575757</c:v>
                </c:pt>
                <c:pt idx="10">
                  <c:v>0.32007575757575757</c:v>
                </c:pt>
                <c:pt idx="11">
                  <c:v>0.32007575757575757</c:v>
                </c:pt>
                <c:pt idx="12">
                  <c:v>0.32007575757575757</c:v>
                </c:pt>
                <c:pt idx="13">
                  <c:v>0.32007575757575757</c:v>
                </c:pt>
                <c:pt idx="14">
                  <c:v>0.32007575757575757</c:v>
                </c:pt>
                <c:pt idx="15">
                  <c:v>0.32007575757575757</c:v>
                </c:pt>
                <c:pt idx="16">
                  <c:v>0.32007575757575757</c:v>
                </c:pt>
                <c:pt idx="17">
                  <c:v>0.32007575757575757</c:v>
                </c:pt>
                <c:pt idx="18">
                  <c:v>0.32007575757575757</c:v>
                </c:pt>
                <c:pt idx="19">
                  <c:v>0.32007575757575757</c:v>
                </c:pt>
                <c:pt idx="20">
                  <c:v>0.32007575757575757</c:v>
                </c:pt>
                <c:pt idx="21">
                  <c:v>0.32007575757575757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54-462E-8B5B-C7FAB151D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CARD HOUSING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'29'!$L$6:$L$27</c:f>
              <c:numCache>
                <c:formatCode>_(* #,##0_);_(* \(#,##0\);_(* "-"_);_(@_)</c:formatCode>
                <c:ptCount val="22"/>
                <c:pt idx="0">
                  <c:v>11088</c:v>
                </c:pt>
                <c:pt idx="1">
                  <c:v>1731</c:v>
                </c:pt>
                <c:pt idx="2">
                  <c:v>12072</c:v>
                </c:pt>
                <c:pt idx="5">
                  <c:v>2001</c:v>
                </c:pt>
                <c:pt idx="6">
                  <c:v>3592</c:v>
                </c:pt>
                <c:pt idx="8">
                  <c:v>313</c:v>
                </c:pt>
                <c:pt idx="12">
                  <c:v>7402</c:v>
                </c:pt>
                <c:pt idx="13">
                  <c:v>6368</c:v>
                </c:pt>
                <c:pt idx="14">
                  <c:v>3118</c:v>
                </c:pt>
                <c:pt idx="15">
                  <c:v>33480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F-494D-91E2-F62EC149D199}"/>
            </c:ext>
          </c:extLst>
        </c:ser>
        <c:ser>
          <c:idx val="1"/>
          <c:order val="1"/>
          <c:tx>
            <c:v>계획</c:v>
          </c:tx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CARD HOUSING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'29'!$J$6:$J$27</c:f>
              <c:numCache>
                <c:formatCode>_(* #,##0_);_(* \(#,##0\);_(* "-"_);_(@_)</c:formatCode>
                <c:ptCount val="22"/>
                <c:pt idx="0">
                  <c:v>11088</c:v>
                </c:pt>
                <c:pt idx="1">
                  <c:v>1731</c:v>
                </c:pt>
                <c:pt idx="2">
                  <c:v>12072</c:v>
                </c:pt>
                <c:pt idx="3">
                  <c:v>5029</c:v>
                </c:pt>
                <c:pt idx="4">
                  <c:v>5410</c:v>
                </c:pt>
                <c:pt idx="5">
                  <c:v>2001</c:v>
                </c:pt>
                <c:pt idx="6">
                  <c:v>3592</c:v>
                </c:pt>
                <c:pt idx="7">
                  <c:v>3081</c:v>
                </c:pt>
                <c:pt idx="8">
                  <c:v>313</c:v>
                </c:pt>
                <c:pt idx="9">
                  <c:v>76</c:v>
                </c:pt>
                <c:pt idx="10">
                  <c:v>5780</c:v>
                </c:pt>
                <c:pt idx="11">
                  <c:v>13686</c:v>
                </c:pt>
                <c:pt idx="12">
                  <c:v>7402</c:v>
                </c:pt>
                <c:pt idx="13">
                  <c:v>6368</c:v>
                </c:pt>
                <c:pt idx="14">
                  <c:v>3118</c:v>
                </c:pt>
                <c:pt idx="15">
                  <c:v>33480</c:v>
                </c:pt>
                <c:pt idx="16">
                  <c:v>0</c:v>
                </c:pt>
                <c:pt idx="17">
                  <c:v>0</c:v>
                </c:pt>
                <c:pt idx="18">
                  <c:v>3244</c:v>
                </c:pt>
                <c:pt idx="19">
                  <c:v>9988</c:v>
                </c:pt>
                <c:pt idx="20">
                  <c:v>11600</c:v>
                </c:pt>
                <c:pt idx="21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F-494D-91E2-F62EC149D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'29'!$AD$6:$AD$27</c:f>
              <c:strCache>
                <c:ptCount val="22"/>
                <c:pt idx="0">
                  <c:v>100%</c:v>
                </c:pt>
                <c:pt idx="1">
                  <c:v>46%</c:v>
                </c:pt>
                <c:pt idx="2">
                  <c:v>100%</c:v>
                </c:pt>
                <c:pt idx="3">
                  <c:v>0%</c:v>
                </c:pt>
                <c:pt idx="4">
                  <c:v>0%</c:v>
                </c:pt>
                <c:pt idx="5">
                  <c:v>42%</c:v>
                </c:pt>
                <c:pt idx="6">
                  <c:v>83%</c:v>
                </c:pt>
                <c:pt idx="7">
                  <c:v>0%</c:v>
                </c:pt>
                <c:pt idx="8">
                  <c:v>29%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83%</c:v>
                </c:pt>
                <c:pt idx="13">
                  <c:v>88%</c:v>
                </c:pt>
                <c:pt idx="14">
                  <c:v>75%</c:v>
                </c:pt>
                <c:pt idx="15">
                  <c:v>58%</c:v>
                </c:pt>
                <c:pt idx="16">
                  <c:v>0%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CARD HOUSING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'29'!$AD$6:$AD$27</c:f>
              <c:numCache>
                <c:formatCode>0%</c:formatCode>
                <c:ptCount val="22"/>
                <c:pt idx="0">
                  <c:v>1</c:v>
                </c:pt>
                <c:pt idx="1">
                  <c:v>0.45833333333333331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0.41666666666666669</c:v>
                </c:pt>
                <c:pt idx="6">
                  <c:v>0.83333333333333337</c:v>
                </c:pt>
                <c:pt idx="7">
                  <c:v>0</c:v>
                </c:pt>
                <c:pt idx="8">
                  <c:v>0.29166666666666669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0.875</c:v>
                </c:pt>
                <c:pt idx="14">
                  <c:v>0.75</c:v>
                </c:pt>
                <c:pt idx="15">
                  <c:v>0.58333333333333337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9-4B78-AD79-A49569B7BEB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E9-4B78-AD79-A49569B7BEB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'29'!$D$6:$D$27</c:f>
              <c:strCache>
                <c:ptCount val="21"/>
                <c:pt idx="0">
                  <c:v>ADAPTER</c:v>
                </c:pt>
                <c:pt idx="1">
                  <c:v>ADAPTER</c:v>
                </c:pt>
                <c:pt idx="2">
                  <c:v>BASE</c:v>
                </c:pt>
                <c:pt idx="3">
                  <c:v>ADAPTER</c:v>
                </c:pt>
                <c:pt idx="4">
                  <c:v>LATCH</c:v>
                </c:pt>
                <c:pt idx="5">
                  <c:v>COVER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COVER</c:v>
                </c:pt>
                <c:pt idx="10">
                  <c:v>BASE</c:v>
                </c:pt>
                <c:pt idx="11">
                  <c:v>INNER</c:v>
                </c:pt>
                <c:pt idx="12">
                  <c:v>ACTUATOR</c:v>
                </c:pt>
                <c:pt idx="13">
                  <c:v>CARD HOUSING</c:v>
                </c:pt>
                <c:pt idx="14">
                  <c:v>ACTUATOR</c:v>
                </c:pt>
                <c:pt idx="18">
                  <c:v>SLIDER</c:v>
                </c:pt>
                <c:pt idx="19">
                  <c:v>SLIDER</c:v>
                </c:pt>
                <c:pt idx="20">
                  <c:v>COVER</c:v>
                </c:pt>
              </c:strCache>
            </c:strRef>
          </c:cat>
          <c:val>
            <c:numRef>
              <c:f>'29'!$AE$6:$AE$27</c:f>
              <c:numCache>
                <c:formatCode>0%</c:formatCode>
                <c:ptCount val="22"/>
                <c:pt idx="0">
                  <c:v>0.32007575757575757</c:v>
                </c:pt>
                <c:pt idx="1">
                  <c:v>0.32007575757575757</c:v>
                </c:pt>
                <c:pt idx="2">
                  <c:v>0.32007575757575757</c:v>
                </c:pt>
                <c:pt idx="3">
                  <c:v>0.32007575757575757</c:v>
                </c:pt>
                <c:pt idx="4">
                  <c:v>0.32007575757575757</c:v>
                </c:pt>
                <c:pt idx="5">
                  <c:v>0.32007575757575757</c:v>
                </c:pt>
                <c:pt idx="6">
                  <c:v>0.32007575757575757</c:v>
                </c:pt>
                <c:pt idx="7">
                  <c:v>0.32007575757575757</c:v>
                </c:pt>
                <c:pt idx="8">
                  <c:v>0.32007575757575757</c:v>
                </c:pt>
                <c:pt idx="9">
                  <c:v>0.32007575757575757</c:v>
                </c:pt>
                <c:pt idx="10">
                  <c:v>0.32007575757575757</c:v>
                </c:pt>
                <c:pt idx="11">
                  <c:v>0.32007575757575757</c:v>
                </c:pt>
                <c:pt idx="12">
                  <c:v>0.32007575757575757</c:v>
                </c:pt>
                <c:pt idx="13">
                  <c:v>0.32007575757575757</c:v>
                </c:pt>
                <c:pt idx="14">
                  <c:v>0.32007575757575757</c:v>
                </c:pt>
                <c:pt idx="15">
                  <c:v>0.32007575757575757</c:v>
                </c:pt>
                <c:pt idx="16">
                  <c:v>0.32007575757575757</c:v>
                </c:pt>
                <c:pt idx="17">
                  <c:v>0.32007575757575757</c:v>
                </c:pt>
                <c:pt idx="18">
                  <c:v>0.32007575757575757</c:v>
                </c:pt>
                <c:pt idx="19">
                  <c:v>0.32007575757575757</c:v>
                </c:pt>
                <c:pt idx="20">
                  <c:v>0.32007575757575757</c:v>
                </c:pt>
                <c:pt idx="21">
                  <c:v>0.32007575757575757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9-4B78-AD79-A49569B7B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579-47CC-9226-11F754889A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79-47CC-9226-11F754889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579-47CC-9226-11F754889AC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79-47CC-9226-11F754889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'30'!$L$6:$L$28</c:f>
              <c:numCache>
                <c:formatCode>_(* #,##0_);_(* \(#,##0\);_(* "-"_);_(@_)</c:formatCode>
                <c:ptCount val="23"/>
                <c:pt idx="0">
                  <c:v>4560</c:v>
                </c:pt>
                <c:pt idx="1">
                  <c:v>2483</c:v>
                </c:pt>
                <c:pt idx="2">
                  <c:v>20492</c:v>
                </c:pt>
                <c:pt idx="5">
                  <c:v>7314</c:v>
                </c:pt>
                <c:pt idx="7">
                  <c:v>3607</c:v>
                </c:pt>
                <c:pt idx="12">
                  <c:v>3610</c:v>
                </c:pt>
                <c:pt idx="13">
                  <c:v>1726</c:v>
                </c:pt>
                <c:pt idx="14">
                  <c:v>7710</c:v>
                </c:pt>
                <c:pt idx="15">
                  <c:v>4990</c:v>
                </c:pt>
                <c:pt idx="16">
                  <c:v>32292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9-4F51-8F4F-4562A271952A}"/>
            </c:ext>
          </c:extLst>
        </c:ser>
        <c:ser>
          <c:idx val="1"/>
          <c:order val="1"/>
          <c:tx>
            <c:v>계획</c:v>
          </c:tx>
          <c:cat>
            <c:strRef>
              <c:f>'30'!$D$6:$D$28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'30'!$J$6:$J$28</c:f>
              <c:numCache>
                <c:formatCode>_(* #,##0_);_(* \(#,##0\);_(* "-"_);_(@_)</c:formatCode>
                <c:ptCount val="23"/>
                <c:pt idx="0">
                  <c:v>4560</c:v>
                </c:pt>
                <c:pt idx="1">
                  <c:v>2483</c:v>
                </c:pt>
                <c:pt idx="2">
                  <c:v>20492</c:v>
                </c:pt>
                <c:pt idx="3">
                  <c:v>12072</c:v>
                </c:pt>
                <c:pt idx="4">
                  <c:v>5029</c:v>
                </c:pt>
                <c:pt idx="5">
                  <c:v>7314</c:v>
                </c:pt>
                <c:pt idx="6">
                  <c:v>2001</c:v>
                </c:pt>
                <c:pt idx="7">
                  <c:v>3607</c:v>
                </c:pt>
                <c:pt idx="8">
                  <c:v>3081</c:v>
                </c:pt>
                <c:pt idx="9">
                  <c:v>313</c:v>
                </c:pt>
                <c:pt idx="10">
                  <c:v>76</c:v>
                </c:pt>
                <c:pt idx="11">
                  <c:v>5780</c:v>
                </c:pt>
                <c:pt idx="12">
                  <c:v>3610</c:v>
                </c:pt>
                <c:pt idx="13">
                  <c:v>1726</c:v>
                </c:pt>
                <c:pt idx="14">
                  <c:v>7710</c:v>
                </c:pt>
                <c:pt idx="15">
                  <c:v>4990</c:v>
                </c:pt>
                <c:pt idx="16">
                  <c:v>32292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E9-4F51-8F4F-4562A2719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'30'!$AD$6:$AD$28</c:f>
              <c:strCache>
                <c:ptCount val="23"/>
                <c:pt idx="0">
                  <c:v>38%</c:v>
                </c:pt>
                <c:pt idx="1">
                  <c:v>50%</c:v>
                </c:pt>
                <c:pt idx="2">
                  <c:v>88%</c:v>
                </c:pt>
                <c:pt idx="3">
                  <c:v>0%</c:v>
                </c:pt>
                <c:pt idx="4">
                  <c:v>0%</c:v>
                </c:pt>
                <c:pt idx="5">
                  <c:v>71%</c:v>
                </c:pt>
                <c:pt idx="6">
                  <c:v>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79%</c:v>
                </c:pt>
                <c:pt idx="13">
                  <c:v>25%</c:v>
                </c:pt>
                <c:pt idx="14">
                  <c:v>100%</c:v>
                </c:pt>
                <c:pt idx="15">
                  <c:v>100%</c:v>
                </c:pt>
                <c:pt idx="16">
                  <c:v>58%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'30'!$AD$6:$AD$28</c:f>
              <c:numCache>
                <c:formatCode>0%</c:formatCode>
                <c:ptCount val="23"/>
                <c:pt idx="0">
                  <c:v>0.375</c:v>
                </c:pt>
                <c:pt idx="1">
                  <c:v>0.5</c:v>
                </c:pt>
                <c:pt idx="2">
                  <c:v>0.875</c:v>
                </c:pt>
                <c:pt idx="3">
                  <c:v>0</c:v>
                </c:pt>
                <c:pt idx="4">
                  <c:v>0</c:v>
                </c:pt>
                <c:pt idx="5">
                  <c:v>0.70833333333333337</c:v>
                </c:pt>
                <c:pt idx="6">
                  <c:v>0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0.79166666666666663</c:v>
                </c:pt>
                <c:pt idx="13">
                  <c:v>0.25</c:v>
                </c:pt>
                <c:pt idx="14">
                  <c:v>1</c:v>
                </c:pt>
                <c:pt idx="15">
                  <c:v>1</c:v>
                </c:pt>
                <c:pt idx="16">
                  <c:v>0.58333333333333337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C-4033-95A7-6E9BEBFB8E1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6C-4033-95A7-6E9BEBFB8E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'30'!$AE$6:$AE$28</c:f>
              <c:numCache>
                <c:formatCode>0%</c:formatCode>
                <c:ptCount val="23"/>
                <c:pt idx="0">
                  <c:v>0.30072463768115942</c:v>
                </c:pt>
                <c:pt idx="1">
                  <c:v>0.30072463768115942</c:v>
                </c:pt>
                <c:pt idx="2">
                  <c:v>0.30072463768115942</c:v>
                </c:pt>
                <c:pt idx="3">
                  <c:v>0.30072463768115942</c:v>
                </c:pt>
                <c:pt idx="4">
                  <c:v>0.30072463768115942</c:v>
                </c:pt>
                <c:pt idx="5">
                  <c:v>0.30072463768115942</c:v>
                </c:pt>
                <c:pt idx="6">
                  <c:v>0.30072463768115942</c:v>
                </c:pt>
                <c:pt idx="7">
                  <c:v>0.30072463768115942</c:v>
                </c:pt>
                <c:pt idx="8">
                  <c:v>0.30072463768115942</c:v>
                </c:pt>
                <c:pt idx="9">
                  <c:v>0.30072463768115942</c:v>
                </c:pt>
                <c:pt idx="10">
                  <c:v>0.30072463768115942</c:v>
                </c:pt>
                <c:pt idx="11">
                  <c:v>0.30072463768115942</c:v>
                </c:pt>
                <c:pt idx="12">
                  <c:v>0.30072463768115942</c:v>
                </c:pt>
                <c:pt idx="13">
                  <c:v>0.30072463768115942</c:v>
                </c:pt>
                <c:pt idx="14">
                  <c:v>0.30072463768115942</c:v>
                </c:pt>
                <c:pt idx="15">
                  <c:v>0.30072463768115942</c:v>
                </c:pt>
                <c:pt idx="16">
                  <c:v>0.30072463768115942</c:v>
                </c:pt>
                <c:pt idx="17">
                  <c:v>0.30072463768115942</c:v>
                </c:pt>
                <c:pt idx="18">
                  <c:v>0.30072463768115942</c:v>
                </c:pt>
                <c:pt idx="19">
                  <c:v>0.30072463768115942</c:v>
                </c:pt>
                <c:pt idx="20">
                  <c:v>0.30072463768115942</c:v>
                </c:pt>
                <c:pt idx="21">
                  <c:v>0.30072463768115942</c:v>
                </c:pt>
                <c:pt idx="22">
                  <c:v>0.30072463768115942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6C-4033-95A7-6E9BEBFB8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'30'!$L$6:$L$28</c:f>
              <c:numCache>
                <c:formatCode>_(* #,##0_);_(* \(#,##0\);_(* "-"_);_(@_)</c:formatCode>
                <c:ptCount val="23"/>
                <c:pt idx="0">
                  <c:v>4560</c:v>
                </c:pt>
                <c:pt idx="1">
                  <c:v>2483</c:v>
                </c:pt>
                <c:pt idx="2">
                  <c:v>20492</c:v>
                </c:pt>
                <c:pt idx="5">
                  <c:v>7314</c:v>
                </c:pt>
                <c:pt idx="7">
                  <c:v>3607</c:v>
                </c:pt>
                <c:pt idx="12">
                  <c:v>3610</c:v>
                </c:pt>
                <c:pt idx="13">
                  <c:v>1726</c:v>
                </c:pt>
                <c:pt idx="14">
                  <c:v>7710</c:v>
                </c:pt>
                <c:pt idx="15">
                  <c:v>4990</c:v>
                </c:pt>
                <c:pt idx="16">
                  <c:v>32292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1-48CB-9820-CA1EE4F61B29}"/>
            </c:ext>
          </c:extLst>
        </c:ser>
        <c:ser>
          <c:idx val="1"/>
          <c:order val="1"/>
          <c:tx>
            <c:v>계획</c:v>
          </c:tx>
          <c:cat>
            <c:strRef>
              <c:f>'30'!$D$6:$D$28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'30'!$J$6:$J$28</c:f>
              <c:numCache>
                <c:formatCode>_(* #,##0_);_(* \(#,##0\);_(* "-"_);_(@_)</c:formatCode>
                <c:ptCount val="23"/>
                <c:pt idx="0">
                  <c:v>4560</c:v>
                </c:pt>
                <c:pt idx="1">
                  <c:v>2483</c:v>
                </c:pt>
                <c:pt idx="2">
                  <c:v>20492</c:v>
                </c:pt>
                <c:pt idx="3">
                  <c:v>12072</c:v>
                </c:pt>
                <c:pt idx="4">
                  <c:v>5029</c:v>
                </c:pt>
                <c:pt idx="5">
                  <c:v>7314</c:v>
                </c:pt>
                <c:pt idx="6">
                  <c:v>2001</c:v>
                </c:pt>
                <c:pt idx="7">
                  <c:v>3607</c:v>
                </c:pt>
                <c:pt idx="8">
                  <c:v>3081</c:v>
                </c:pt>
                <c:pt idx="9">
                  <c:v>313</c:v>
                </c:pt>
                <c:pt idx="10">
                  <c:v>76</c:v>
                </c:pt>
                <c:pt idx="11">
                  <c:v>5780</c:v>
                </c:pt>
                <c:pt idx="12">
                  <c:v>3610</c:v>
                </c:pt>
                <c:pt idx="13">
                  <c:v>1726</c:v>
                </c:pt>
                <c:pt idx="14">
                  <c:v>7710</c:v>
                </c:pt>
                <c:pt idx="15">
                  <c:v>4990</c:v>
                </c:pt>
                <c:pt idx="16">
                  <c:v>32292</c:v>
                </c:pt>
                <c:pt idx="17">
                  <c:v>0</c:v>
                </c:pt>
                <c:pt idx="18">
                  <c:v>0</c:v>
                </c:pt>
                <c:pt idx="19">
                  <c:v>3244</c:v>
                </c:pt>
                <c:pt idx="20">
                  <c:v>9988</c:v>
                </c:pt>
                <c:pt idx="21">
                  <c:v>11600</c:v>
                </c:pt>
                <c:pt idx="22">
                  <c:v>368000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1-48CB-9820-CA1EE4F61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'30'!$AD$6:$AD$28</c:f>
              <c:strCache>
                <c:ptCount val="23"/>
                <c:pt idx="0">
                  <c:v>38%</c:v>
                </c:pt>
                <c:pt idx="1">
                  <c:v>50%</c:v>
                </c:pt>
                <c:pt idx="2">
                  <c:v>88%</c:v>
                </c:pt>
                <c:pt idx="3">
                  <c:v>0%</c:v>
                </c:pt>
                <c:pt idx="4">
                  <c:v>0%</c:v>
                </c:pt>
                <c:pt idx="5">
                  <c:v>71%</c:v>
                </c:pt>
                <c:pt idx="6">
                  <c:v>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79%</c:v>
                </c:pt>
                <c:pt idx="13">
                  <c:v>25%</c:v>
                </c:pt>
                <c:pt idx="14">
                  <c:v>100%</c:v>
                </c:pt>
                <c:pt idx="15">
                  <c:v>100%</c:v>
                </c:pt>
                <c:pt idx="16">
                  <c:v>58%</c:v>
                </c:pt>
                <c:pt idx="17">
                  <c:v>0%</c:v>
                </c:pt>
                <c:pt idx="18">
                  <c:v>0%</c:v>
                </c:pt>
                <c:pt idx="19">
                  <c:v>0%</c:v>
                </c:pt>
                <c:pt idx="20">
                  <c:v>0%</c:v>
                </c:pt>
                <c:pt idx="21">
                  <c:v>0%</c:v>
                </c:pt>
                <c:pt idx="22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'30'!$AD$6:$AD$28</c:f>
              <c:numCache>
                <c:formatCode>0%</c:formatCode>
                <c:ptCount val="23"/>
                <c:pt idx="0">
                  <c:v>0.375</c:v>
                </c:pt>
                <c:pt idx="1">
                  <c:v>0.5</c:v>
                </c:pt>
                <c:pt idx="2">
                  <c:v>0.875</c:v>
                </c:pt>
                <c:pt idx="3">
                  <c:v>0</c:v>
                </c:pt>
                <c:pt idx="4">
                  <c:v>0</c:v>
                </c:pt>
                <c:pt idx="5">
                  <c:v>0.70833333333333337</c:v>
                </c:pt>
                <c:pt idx="6">
                  <c:v>0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0.79166666666666663</c:v>
                </c:pt>
                <c:pt idx="13">
                  <c:v>0.25</c:v>
                </c:pt>
                <c:pt idx="14">
                  <c:v>1</c:v>
                </c:pt>
                <c:pt idx="15">
                  <c:v>1</c:v>
                </c:pt>
                <c:pt idx="16">
                  <c:v>0.58333333333333337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5-4038-8AEE-3FAD8199F2D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405732865681593"/>
                  <c:y val="0.18264331118919197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4F5-4038-8AEE-3FAD8199F2D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'30'!$D$6:$D$28</c:f>
              <c:strCache>
                <c:ptCount val="22"/>
                <c:pt idx="0">
                  <c:v>ADAPTER</c:v>
                </c:pt>
                <c:pt idx="1">
                  <c:v>ADAPTER</c:v>
                </c:pt>
                <c:pt idx="2">
                  <c:v>COVER</c:v>
                </c:pt>
                <c:pt idx="3">
                  <c:v>BASE</c:v>
                </c:pt>
                <c:pt idx="4">
                  <c:v>ADAPTER</c:v>
                </c:pt>
                <c:pt idx="5">
                  <c:v>LATCH</c:v>
                </c:pt>
                <c:pt idx="6">
                  <c:v>COVER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COVER</c:v>
                </c:pt>
                <c:pt idx="11">
                  <c:v>BASE</c:v>
                </c:pt>
                <c:pt idx="12">
                  <c:v>ADAPTER</c:v>
                </c:pt>
                <c:pt idx="13">
                  <c:v>ACTUATOR</c:v>
                </c:pt>
                <c:pt idx="14">
                  <c:v>CARD HOUSING</c:v>
                </c:pt>
                <c:pt idx="15">
                  <c:v>ACTUATOR</c:v>
                </c:pt>
                <c:pt idx="19">
                  <c:v>SLIDER</c:v>
                </c:pt>
                <c:pt idx="20">
                  <c:v>SLIDER</c:v>
                </c:pt>
                <c:pt idx="21">
                  <c:v>COVER</c:v>
                </c:pt>
              </c:strCache>
            </c:strRef>
          </c:cat>
          <c:val>
            <c:numRef>
              <c:f>'30'!$AE$6:$AE$28</c:f>
              <c:numCache>
                <c:formatCode>0%</c:formatCode>
                <c:ptCount val="23"/>
                <c:pt idx="0">
                  <c:v>0.30072463768115942</c:v>
                </c:pt>
                <c:pt idx="1">
                  <c:v>0.30072463768115942</c:v>
                </c:pt>
                <c:pt idx="2">
                  <c:v>0.30072463768115942</c:v>
                </c:pt>
                <c:pt idx="3">
                  <c:v>0.30072463768115942</c:v>
                </c:pt>
                <c:pt idx="4">
                  <c:v>0.30072463768115942</c:v>
                </c:pt>
                <c:pt idx="5">
                  <c:v>0.30072463768115942</c:v>
                </c:pt>
                <c:pt idx="6">
                  <c:v>0.30072463768115942</c:v>
                </c:pt>
                <c:pt idx="7">
                  <c:v>0.30072463768115942</c:v>
                </c:pt>
                <c:pt idx="8">
                  <c:v>0.30072463768115942</c:v>
                </c:pt>
                <c:pt idx="9">
                  <c:v>0.30072463768115942</c:v>
                </c:pt>
                <c:pt idx="10">
                  <c:v>0.30072463768115942</c:v>
                </c:pt>
                <c:pt idx="11">
                  <c:v>0.30072463768115942</c:v>
                </c:pt>
                <c:pt idx="12">
                  <c:v>0.30072463768115942</c:v>
                </c:pt>
                <c:pt idx="13">
                  <c:v>0.30072463768115942</c:v>
                </c:pt>
                <c:pt idx="14">
                  <c:v>0.30072463768115942</c:v>
                </c:pt>
                <c:pt idx="15">
                  <c:v>0.30072463768115942</c:v>
                </c:pt>
                <c:pt idx="16">
                  <c:v>0.30072463768115942</c:v>
                </c:pt>
                <c:pt idx="17">
                  <c:v>0.30072463768115942</c:v>
                </c:pt>
                <c:pt idx="18">
                  <c:v>0.30072463768115942</c:v>
                </c:pt>
                <c:pt idx="19">
                  <c:v>0.30072463768115942</c:v>
                </c:pt>
                <c:pt idx="20">
                  <c:v>0.30072463768115942</c:v>
                </c:pt>
                <c:pt idx="21">
                  <c:v>0.30072463768115942</c:v>
                </c:pt>
                <c:pt idx="22">
                  <c:v>0.30072463768115942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F5-4038-8AEE-3FAD8199F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519-45F3-BF00-3EC51B6D29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9-45F3-BF00-3EC51B6D2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519-45F3-BF00-3EC51B6D29D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19-45F3-BF00-3EC51B6D2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06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총괄!$A$25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총괄!$B$25:$AG$25</c:f>
              <c:numCache>
                <c:formatCode>0%</c:formatCode>
                <c:ptCount val="32"/>
                <c:pt idx="0">
                  <c:v>0.39393939393939392</c:v>
                </c:pt>
                <c:pt idx="1">
                  <c:v>0.39393939393939398</c:v>
                </c:pt>
                <c:pt idx="2">
                  <c:v>0.46590909090909088</c:v>
                </c:pt>
                <c:pt idx="3">
                  <c:v>0.4375</c:v>
                </c:pt>
                <c:pt idx="4">
                  <c:v>0.32575757575757575</c:v>
                </c:pt>
                <c:pt idx="5">
                  <c:v>0.15340909090909091</c:v>
                </c:pt>
                <c:pt idx="6">
                  <c:v>0.3503787878787879</c:v>
                </c:pt>
                <c:pt idx="7">
                  <c:v>0.4375</c:v>
                </c:pt>
                <c:pt idx="8">
                  <c:v>0.57386363636363646</c:v>
                </c:pt>
                <c:pt idx="9">
                  <c:v>0.43115942028985504</c:v>
                </c:pt>
                <c:pt idx="10">
                  <c:v>0.48295454545454547</c:v>
                </c:pt>
                <c:pt idx="13">
                  <c:v>0.40217391304347827</c:v>
                </c:pt>
                <c:pt idx="14">
                  <c:v>0.39204545454545453</c:v>
                </c:pt>
                <c:pt idx="15">
                  <c:v>0.41287878787878785</c:v>
                </c:pt>
                <c:pt idx="16">
                  <c:v>0.40340909090909088</c:v>
                </c:pt>
                <c:pt idx="17">
                  <c:v>0.13257575757575754</c:v>
                </c:pt>
                <c:pt idx="20">
                  <c:v>0.34469696969696967</c:v>
                </c:pt>
                <c:pt idx="21">
                  <c:v>0.28787878787878785</c:v>
                </c:pt>
                <c:pt idx="22">
                  <c:v>0.28598484848484851</c:v>
                </c:pt>
                <c:pt idx="23">
                  <c:v>0.34090909090909088</c:v>
                </c:pt>
                <c:pt idx="24">
                  <c:v>0.34469696969696972</c:v>
                </c:pt>
                <c:pt idx="25">
                  <c:v>0.27652301562336162</c:v>
                </c:pt>
                <c:pt idx="27">
                  <c:v>0.26325757575757575</c:v>
                </c:pt>
                <c:pt idx="28">
                  <c:v>0.32007575757575757</c:v>
                </c:pt>
                <c:pt idx="29">
                  <c:v>0.30072463768115942</c:v>
                </c:pt>
                <c:pt idx="31">
                  <c:v>0.29847138642328208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총괄!$B$26:$AG$26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06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총괄!$A$3:$A$24</c:f>
              <c:strCache>
                <c:ptCount val="22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  <c:pt idx="16">
                  <c:v>31호기</c:v>
                </c:pt>
                <c:pt idx="17">
                  <c:v>32호기</c:v>
                </c:pt>
                <c:pt idx="18">
                  <c:v>33호기</c:v>
                </c:pt>
                <c:pt idx="19">
                  <c:v>34호기</c:v>
                </c:pt>
                <c:pt idx="20">
                  <c:v>35호기</c:v>
                </c:pt>
                <c:pt idx="21">
                  <c:v>36호기</c:v>
                </c:pt>
              </c:strCache>
            </c:strRef>
          </c:cat>
          <c:val>
            <c:numRef>
              <c:f>총괄!$AG$3:$AG$24</c:f>
              <c:numCache>
                <c:formatCode>0%</c:formatCode>
                <c:ptCount val="22"/>
                <c:pt idx="0">
                  <c:v>0.47361111111111115</c:v>
                </c:pt>
                <c:pt idx="1">
                  <c:v>0.51111111111111107</c:v>
                </c:pt>
                <c:pt idx="2">
                  <c:v>0.60416666666666663</c:v>
                </c:pt>
                <c:pt idx="3">
                  <c:v>0.53888888888888897</c:v>
                </c:pt>
                <c:pt idx="4">
                  <c:v>0.4736111111111112</c:v>
                </c:pt>
                <c:pt idx="5">
                  <c:v>0.44027777777777771</c:v>
                </c:pt>
                <c:pt idx="6">
                  <c:v>0.35694444444444445</c:v>
                </c:pt>
                <c:pt idx="7">
                  <c:v>0.53055555555555556</c:v>
                </c:pt>
                <c:pt idx="8">
                  <c:v>7.0833333333333331E-2</c:v>
                </c:pt>
                <c:pt idx="9">
                  <c:v>0</c:v>
                </c:pt>
                <c:pt idx="10">
                  <c:v>0.15972798923490966</c:v>
                </c:pt>
                <c:pt idx="11">
                  <c:v>0.2638888888888889</c:v>
                </c:pt>
                <c:pt idx="12">
                  <c:v>0.42777777777777781</c:v>
                </c:pt>
                <c:pt idx="13">
                  <c:v>0.49027777777777781</c:v>
                </c:pt>
                <c:pt idx="14">
                  <c:v>0.54027777777777775</c:v>
                </c:pt>
                <c:pt idx="15">
                  <c:v>0.46250000000000002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0.25972222222222224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5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7.xml"/><Relationship Id="rId1" Type="http://schemas.openxmlformats.org/officeDocument/2006/relationships/chart" Target="../charts/chart116.xml"/><Relationship Id="rId6" Type="http://schemas.openxmlformats.org/officeDocument/2006/relationships/chart" Target="../charts/chart120.xml"/><Relationship Id="rId5" Type="http://schemas.openxmlformats.org/officeDocument/2006/relationships/chart" Target="../charts/chart119.xml"/><Relationship Id="rId4" Type="http://schemas.openxmlformats.org/officeDocument/2006/relationships/chart" Target="../charts/chart118.xml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2.xml"/><Relationship Id="rId1" Type="http://schemas.openxmlformats.org/officeDocument/2006/relationships/chart" Target="../charts/chart121.xml"/><Relationship Id="rId6" Type="http://schemas.openxmlformats.org/officeDocument/2006/relationships/chart" Target="../charts/chart125.xml"/><Relationship Id="rId5" Type="http://schemas.openxmlformats.org/officeDocument/2006/relationships/chart" Target="../charts/chart124.xml"/><Relationship Id="rId4" Type="http://schemas.openxmlformats.org/officeDocument/2006/relationships/chart" Target="../charts/chart123.xml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7.xml"/><Relationship Id="rId1" Type="http://schemas.openxmlformats.org/officeDocument/2006/relationships/chart" Target="../charts/chart1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4428F1E-8C36-494C-9DA6-8B0C7385D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EAFF1C6-C1FD-4DFB-90DA-55131C036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DDB5368-AF2F-4050-BA3E-77049CBE2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EF2D22A-1237-4EF6-A8EF-1440152D2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29DABBA-58E3-4FE0-905B-D3C21DD60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6DA9E09-6DD8-44B5-A357-67CC50AB4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0CDC141-FC0A-4ABC-87F5-CEED7C414F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FF235D7-38C6-4D99-B231-B394C2723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1698A42-C57C-4769-BE5F-5F1455ACF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CAEAD53-6A80-4618-A007-ED4D5B34A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1ACAE5F-6DF0-4657-BA2D-53A6BBBB8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19A5059-0103-480A-877C-562CF78B5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DF48711-55AD-4FA7-980D-F3A5CCBAE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92C880A-E18A-4034-BBCA-C015EDCE3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D1C0E40-1A2A-4C37-B25E-3251BBC4C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40B4B1B-A7B4-415A-8D47-87A82DDB4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72F0D46-19E1-4047-A3F0-E70F1FBC7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9176B49-348A-4A72-A72F-3C0F84A41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E8DB054-788F-4027-9DBC-1DC99240B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ABBD450-4DEE-4293-9277-0D6877725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6C4AD6C-D39A-48CA-8447-EE84BF5B86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B94542A-8DDA-4271-A366-8C01D9E64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E9C619-18EF-480F-A38D-CEB6C9A162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603AC7E-857A-4605-9334-5C52F55D2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9215922-3407-41D9-94A0-09182B6460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8632B60-5331-4823-A4E1-24C1B3D91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93B0447-5676-4131-ABCB-71803922B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B69AFE2-0FD7-421C-9148-71D75C94B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6FF1AAA-0A5F-49CA-B058-19C5FB40C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7CF8C8C-BC4F-4B7A-9D44-7CE89F1485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AE23894-DC7F-4EBB-8E3E-460B4B3E6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058EEB4-6E66-4331-9162-8312B4616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C971C28-8857-45E8-9F1C-05A5EE03C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B5367EF-5ED0-4529-BA26-280B313C8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EEC4E6F-3E9D-4F85-8E2C-A087FD077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F6C533C-BEDF-47B2-81A1-F3AA641BE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102723B-D704-49A4-854C-79833F55E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F16F00C-A662-41B7-BC20-A1A80A571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4BF427F-BC67-4D20-906F-11C9D0DCD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98FC497-CF3C-49E4-BD2E-F21CC5BA2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1C3ABB6-CAFD-4237-9E7B-22D6836CA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94D6246-51D5-443D-9762-A1CF358AD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2C3CDD9-2C5E-4A25-B065-B65200F6F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67AEC1C-D8D4-4828-9151-944B17C8B2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B841543-97F9-4796-9C6F-76B750743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43A67A0-EAF6-437F-941D-15DF83B65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FDC005B-DFB9-4C0B-8249-8691C99A4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E881ECC-E842-4941-9EBF-975AC4E70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D5E106E-2A18-4955-8614-268F9BC76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77B6D69-D711-4775-B995-76D4DA9E9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1301CDB-DC93-45F3-B09F-A8571236F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F48DF15-0B3C-4835-AB58-356A0573C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B32164A-A8B6-433C-ADD0-9AB15D47A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E07A6F2-4598-4A65-9851-D31D45DF8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243F39B-81C0-4CF1-BFB8-3C2335CA1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0DE927F-FA3E-4E52-B150-AD2C4BF46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14C575D-AEF7-40D7-B592-A720E63B49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C12B687-1DCE-46BC-8564-8D254B5A6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C993B8D-8719-4B7E-9AA6-27D3D624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0990CC3-7CB7-48B3-B191-6F7E961DA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E97DA35-1C15-4DD9-A166-E9FAD2F3C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A314CF3-F856-4E3A-B5D0-EFDEC353B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7870151-1CF3-44DB-AFBC-97C779BC6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4595926-A03D-47E3-A608-B1A40593F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A9B456C-7300-44C0-9D87-E1EFB895A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59DDF2F-CD5E-4458-927D-903A787DE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B1F6736-7B01-42ED-89D2-FA655EF445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92A83C2-AF6A-4D76-844D-9EA384A7D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3CD1FC5-7486-4C61-BE6E-2F1FF3076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905177D-55AA-4705-8B74-82DBB78C2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94A355E-B1E5-4AFA-A470-79770DF7F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1CD6FC7-3FAF-4A57-B47A-32142BB4E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EDDBA46-1C14-4CE2-B806-88CC74D05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410B414-B9F8-4EFB-BE30-AB47BEE4B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A16ACCE-3139-461C-AFBD-7322AB79B7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BE45632-E668-48B6-8B24-4138734F6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5FB7709-FB91-41D6-9508-F9A5CF1C08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9DEAD23-E7AB-40B4-9B0A-44D904F20F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117AC92-A00A-4464-A6A0-CC9BEAA57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6658759-F9B4-4C48-8824-E099FC13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D59923D-4C29-4BA1-8721-D5E96FCFAA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1626953-DDD9-4679-91DB-62E3C79209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38309E9-62A4-4E40-97FC-0EDCEF634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7BD27C6-6E6F-479B-8A72-840F1AAD9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FEF91A6-E7B6-43FF-ABF9-7C4455671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85A649F-BE56-49FE-AE77-7D6405326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C99CAA5-70E7-495D-9678-AFE74E397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8C584BE-C4E0-48F3-B1F9-8E906ABBB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E068F9E-5ED6-46A7-95F4-48BFF9252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A61AD34-BEE0-4A72-A2EA-7ACE567B7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DB7F9C5-4402-44A1-AB0E-8E06D23BF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1369D65-CB4A-4924-83FE-3954017F1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7B84EA2-F7A4-4715-B2F8-1F90A78C1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BB16E44-C962-4891-B210-6A5BD380B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6EC5234-B3BD-4CB1-B2C8-68B51F6C4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4B22C0C-4F36-401F-9D86-3BCA95B5F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240AF6E-6ABD-4624-B037-A029AB614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44CBF6E-DAC0-40A0-8EFA-2BF9F1600E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94B6C82-6246-4592-A358-1EC148941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C01E9C9-1583-43C9-9724-D9B258186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1E2DF4A-02F2-4281-92A9-44E3B4A5A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3B21D0F-317A-4D2D-8D33-7F2E4C25F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FFCCF34-BAE4-469F-B527-0F1E132FC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507AB7F-3F26-4B31-AFAF-78F6341AF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8A35B5A-1852-4F70-848F-43B543A1E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3E04393-521B-465C-907F-B42E1CC1E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F01BFBE-E597-440C-B98A-07AF96CED1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594BF05-4F94-4BC5-9A22-0F466CAB4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26C102C-79DF-462D-BC72-295813325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C97AA2E-9197-43C3-8CC6-5903D57E70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0EACDF7-F032-46D8-9325-4D5AD754A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524BAF9-23A3-490B-9C5D-FFC29B987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7B6FF79-9D4D-4B03-BC10-51CFA578B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AA52394-CEF7-49DA-9D21-06B9E99CD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78D92A8-287B-410F-8755-AC24D766F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E387CE4-9C68-4075-AA89-C2F3C9752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77695BB-1943-491A-9658-E3EA56EE5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C9B66A0-41C4-4B73-95FB-2A2A3741E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7D4F5A6-99ED-4F3C-9C61-546FE541D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41E44A4-E864-4E05-8ECE-F38F4CA95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A893D6F-5066-4471-A9B7-070430226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4373B04-8CEB-4C4B-BB58-D750E9769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5D2DAB5-9991-47E5-B73E-28F606C60E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95093C1-6B4F-43C7-8E23-27CF2D684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BA3C266-7278-4DA8-A926-6BCF3610F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611D859-F1DF-468F-8AE4-AA1E4701AD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8C6710D-7799-4D7D-A588-4CB377F8A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F53659A-146C-4719-8B84-2B05C341A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B88A1DA-2B50-45F5-B8E3-249A7BC2B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EEAB738-443B-4986-9792-556505711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5362C6D-795F-4812-B2E7-3039D2C81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64E2732-B17A-4A22-8D07-2591EAA62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1133AAE-7DDA-4A3E-B132-DEE1472D2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14CB016-7354-4588-A2A0-B2793DE71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B93D54A-D50C-487A-B593-1FB3B2666D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8B52B10-4FFE-45D7-BCAE-72B18263B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EACD0B4-3E7D-42E5-B3D0-9720BF8B3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86E3868-9396-4883-9FFA-BBE391B2C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28ADA6A-B3CF-4FBD-9EF5-8EBF057B8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1EBE014-2120-44F0-9ECD-07342E8D46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733B1EE-1503-4BF5-8FC3-473EAD231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2D90800-AD98-4177-9823-C3D8220AD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462ED80-9D78-47BD-B94D-C26BD51FF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D91F719-E17E-4340-887C-CE6A00AB3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5754E67-7EF1-46A0-98F2-8F31732B8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DF80FB8-2023-49EB-8E22-F7D8F8B6E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69D8DB6-A36E-4ACC-A2FB-6F6546AE2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FE80546-0E10-4062-9D3D-F81B715F7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1B49E5F-1ACD-4372-9B2A-537AAA2344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24407D4-82A0-47D9-8C2D-7CDAC44F1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DA5121F-D49F-44F1-93C9-2256C2F69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B07921C-3ED9-4503-8881-B7ABE7946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802BDA4-0319-42B7-9830-F6FD952E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DE6CAF4-8796-4940-B2BD-96DD72230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215BD5F-F563-4495-B5BA-F2E91F9758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C42822E-CDF8-4FE9-9E55-71833EA86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4DB61E5-9F4F-4EFC-A708-FCA09E8D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FAECB2F-1CD1-488D-965C-B97E41C69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424C787-3896-42C0-BD14-CED773FA5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88935DB-6996-4669-B813-0E7C74B8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57A6FBE-F8BD-4B9E-810A-606B1391D8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E304816-2484-48E4-BB73-08DB39081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40486B-0F43-4E51-B650-7AE70CE2F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8B1EE3B-87B5-4494-8AA5-2C60E1608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30</xdr:row>
      <xdr:rowOff>0</xdr:rowOff>
    </xdr:from>
    <xdr:to>
      <xdr:col>12</xdr:col>
      <xdr:colOff>1199028</xdr:colOff>
      <xdr:row>43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185D606-6660-492A-A3EF-D8837DFFE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29</xdr:col>
      <xdr:colOff>457200</xdr:colOff>
      <xdr:row>43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53A735A-CE9E-41CD-80C9-D7605EC14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373800F-E61B-4588-944F-1D344498B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44</xdr:row>
      <xdr:rowOff>0</xdr:rowOff>
    </xdr:from>
    <xdr:to>
      <xdr:col>29</xdr:col>
      <xdr:colOff>476250</xdr:colOff>
      <xdr:row>52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57FD1D4-98E6-4D8A-BDD8-0A822F2D6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42317E8-550E-475B-BEE2-3FA8E3A27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CC14A45-6A0C-4F22-96FC-F6C36E652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95DE478-7A93-4B5C-B828-BA541F957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31</xdr:row>
      <xdr:rowOff>0</xdr:rowOff>
    </xdr:from>
    <xdr:to>
      <xdr:col>12</xdr:col>
      <xdr:colOff>1199028</xdr:colOff>
      <xdr:row>44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C4EC865-D9D5-4F08-9EA4-FC4DDF7A9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29</xdr:col>
      <xdr:colOff>457200</xdr:colOff>
      <xdr:row>44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6D2A8E1-242D-4EB2-9079-56E2CB95E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3292A6D-E918-4722-9BDA-EB02E8903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68036</xdr:colOff>
      <xdr:row>45</xdr:row>
      <xdr:rowOff>0</xdr:rowOff>
    </xdr:from>
    <xdr:to>
      <xdr:col>29</xdr:col>
      <xdr:colOff>476250</xdr:colOff>
      <xdr:row>53</xdr:row>
      <xdr:rowOff>312964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F03E480-33DA-446A-A60F-CEFD22BC81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26</xdr:row>
      <xdr:rowOff>104775</xdr:rowOff>
    </xdr:from>
    <xdr:to>
      <xdr:col>16</xdr:col>
      <xdr:colOff>66675</xdr:colOff>
      <xdr:row>38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26</xdr:row>
      <xdr:rowOff>123825</xdr:rowOff>
    </xdr:from>
    <xdr:to>
      <xdr:col>32</xdr:col>
      <xdr:colOff>371474</xdr:colOff>
      <xdr:row>38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0E00-5E9F-447E-BF59-92F1031AC6EF}">
  <sheetPr>
    <pageSetUpPr fitToPage="1"/>
  </sheetPr>
  <dimension ref="A1:AF93"/>
  <sheetViews>
    <sheetView view="pageBreakPreview" topLeftCell="A7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179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121" t="s">
        <v>17</v>
      </c>
      <c r="L5" s="121" t="s">
        <v>18</v>
      </c>
      <c r="M5" s="121" t="s">
        <v>19</v>
      </c>
      <c r="N5" s="12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133</v>
      </c>
      <c r="E6" s="53" t="s">
        <v>176</v>
      </c>
      <c r="F6" s="30" t="s">
        <v>181</v>
      </c>
      <c r="G6" s="12">
        <v>1</v>
      </c>
      <c r="H6" s="13">
        <v>24</v>
      </c>
      <c r="I6" s="31">
        <v>1000</v>
      </c>
      <c r="J6" s="14">
        <v>4504</v>
      </c>
      <c r="K6" s="15">
        <f>L6</f>
        <v>4504</v>
      </c>
      <c r="L6" s="15">
        <f>2245+2259</f>
        <v>4504</v>
      </c>
      <c r="M6" s="15">
        <f t="shared" ref="M6:M27" si="0">L6-N6</f>
        <v>4504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23</v>
      </c>
      <c r="Q6" s="40">
        <f t="shared" ref="Q6:Q27" si="3">SUM(R6:AA6)</f>
        <v>1</v>
      </c>
      <c r="R6" s="7"/>
      <c r="S6" s="6"/>
      <c r="T6" s="16">
        <v>1</v>
      </c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0.95833333333333337</v>
      </c>
      <c r="AD6" s="10">
        <f t="shared" ref="AD6:AD27" si="6">AC6*AB6*(1-O6)</f>
        <v>0.95833333333333337</v>
      </c>
      <c r="AE6" s="36">
        <f t="shared" ref="AE6:AE27" si="7">$AD$28</f>
        <v>0.39393939393939392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11032</v>
      </c>
      <c r="K7" s="15">
        <f>L7+4540+5413+4776+3810+3773+2780+4786+5910+5528+3614+7707+9828+3822+6888</f>
        <v>84207</v>
      </c>
      <c r="L7" s="15">
        <f>2924*2+2592*2</f>
        <v>11032</v>
      </c>
      <c r="M7" s="15">
        <f t="shared" si="0"/>
        <v>11032</v>
      </c>
      <c r="N7" s="15">
        <v>0</v>
      </c>
      <c r="O7" s="58">
        <f t="shared" si="1"/>
        <v>0</v>
      </c>
      <c r="P7" s="39">
        <f t="shared" si="2"/>
        <v>22</v>
      </c>
      <c r="Q7" s="40">
        <f t="shared" si="3"/>
        <v>2</v>
      </c>
      <c r="R7" s="7"/>
      <c r="S7" s="6">
        <v>2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0.91666666666666663</v>
      </c>
      <c r="AD7" s="10">
        <f t="shared" si="6"/>
        <v>0.91666666666666663</v>
      </c>
      <c r="AE7" s="36">
        <f t="shared" si="7"/>
        <v>0.39393939393939392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134</v>
      </c>
      <c r="D8" s="52" t="s">
        <v>115</v>
      </c>
      <c r="E8" s="53" t="s">
        <v>162</v>
      </c>
      <c r="F8" s="30" t="s">
        <v>135</v>
      </c>
      <c r="G8" s="12">
        <v>2</v>
      </c>
      <c r="H8" s="13">
        <v>24</v>
      </c>
      <c r="I8" s="7">
        <v>180000</v>
      </c>
      <c r="J8" s="14">
        <v>12302</v>
      </c>
      <c r="K8" s="15">
        <f>L8+8132+2262+5886+10522+11854+11762+11766+11818+11592+5898+11758+11820+11712+11856+11816+5182+6610+11708+11840+11830+11734+3504+10564</f>
        <v>235728</v>
      </c>
      <c r="L8" s="15">
        <f>2951*2+3200*2</f>
        <v>12302</v>
      </c>
      <c r="M8" s="15">
        <f t="shared" si="0"/>
        <v>12302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0.39393939393939392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134</v>
      </c>
      <c r="D9" s="52" t="s">
        <v>122</v>
      </c>
      <c r="E9" s="53" t="s">
        <v>163</v>
      </c>
      <c r="F9" s="30" t="s">
        <v>135</v>
      </c>
      <c r="G9" s="12">
        <v>2</v>
      </c>
      <c r="H9" s="13">
        <v>24</v>
      </c>
      <c r="I9" s="7">
        <v>180000</v>
      </c>
      <c r="J9" s="14">
        <v>11638</v>
      </c>
      <c r="K9" s="15">
        <f>L9+10280+10788+10818+10814+11584+6366+11696+11770+11638+11800+8836+5222+10904+11636+11670+11786+11714+11754+5152+10934</f>
        <v>218800</v>
      </c>
      <c r="L9" s="15">
        <f>2931*2+2888*2</f>
        <v>11638</v>
      </c>
      <c r="M9" s="15">
        <f t="shared" si="0"/>
        <v>11638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0.39393939393939392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182</v>
      </c>
      <c r="E10" s="53" t="s">
        <v>177</v>
      </c>
      <c r="F10" s="30" t="s">
        <v>126</v>
      </c>
      <c r="G10" s="33">
        <v>1</v>
      </c>
      <c r="H10" s="35">
        <v>24</v>
      </c>
      <c r="I10" s="7">
        <v>2500</v>
      </c>
      <c r="J10" s="14">
        <v>4015</v>
      </c>
      <c r="K10" s="15">
        <f>L10</f>
        <v>4015</v>
      </c>
      <c r="L10" s="15">
        <f>2324+1691</f>
        <v>4015</v>
      </c>
      <c r="M10" s="15">
        <f t="shared" si="0"/>
        <v>4015</v>
      </c>
      <c r="N10" s="15">
        <v>0</v>
      </c>
      <c r="O10" s="58">
        <f t="shared" si="1"/>
        <v>0</v>
      </c>
      <c r="P10" s="39">
        <f t="shared" si="2"/>
        <v>20</v>
      </c>
      <c r="Q10" s="40">
        <f t="shared" si="3"/>
        <v>4</v>
      </c>
      <c r="R10" s="7"/>
      <c r="S10" s="6">
        <v>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0.83333333333333337</v>
      </c>
      <c r="AD10" s="10">
        <f t="shared" si="6"/>
        <v>0.83333333333333337</v>
      </c>
      <c r="AE10" s="36">
        <f t="shared" si="7"/>
        <v>0.39393939393939392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164</v>
      </c>
      <c r="E11" s="53" t="s">
        <v>169</v>
      </c>
      <c r="F11" s="30" t="s">
        <v>126</v>
      </c>
      <c r="G11" s="33">
        <v>1</v>
      </c>
      <c r="H11" s="35">
        <v>24</v>
      </c>
      <c r="I11" s="7">
        <v>5000</v>
      </c>
      <c r="J11" s="14">
        <v>4172</v>
      </c>
      <c r="K11" s="15">
        <f>L11+5381+4172</f>
        <v>9553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0.39393939393939392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170</v>
      </c>
      <c r="F12" s="30" t="s">
        <v>136</v>
      </c>
      <c r="G12" s="12">
        <v>1</v>
      </c>
      <c r="H12" s="13">
        <v>22</v>
      </c>
      <c r="I12" s="31">
        <v>5000</v>
      </c>
      <c r="J12" s="5">
        <v>1829</v>
      </c>
      <c r="K12" s="15">
        <f>L12+2328+401+989+1829</f>
        <v>5547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0.39393939393939392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115</v>
      </c>
      <c r="E13" s="53" t="s">
        <v>172</v>
      </c>
      <c r="F13" s="30" t="s">
        <v>126</v>
      </c>
      <c r="G13" s="33">
        <v>1</v>
      </c>
      <c r="H13" s="35">
        <v>22</v>
      </c>
      <c r="I13" s="7">
        <v>14000</v>
      </c>
      <c r="J13" s="14">
        <v>5211</v>
      </c>
      <c r="K13" s="15">
        <f>L13+4958</f>
        <v>10169</v>
      </c>
      <c r="L13" s="15">
        <f>2618+2593</f>
        <v>5211</v>
      </c>
      <c r="M13" s="15">
        <f t="shared" si="0"/>
        <v>5211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0.39393939393939392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166</v>
      </c>
      <c r="E14" s="53" t="s">
        <v>165</v>
      </c>
      <c r="F14" s="30" t="s">
        <v>149</v>
      </c>
      <c r="G14" s="33">
        <v>1</v>
      </c>
      <c r="H14" s="35">
        <v>50</v>
      </c>
      <c r="I14" s="7">
        <v>700</v>
      </c>
      <c r="J14" s="5">
        <v>750</v>
      </c>
      <c r="K14" s="15">
        <f>L14+750</f>
        <v>750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0.39393939393939392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0.39393939393939392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134</v>
      </c>
      <c r="D16" s="52" t="s">
        <v>173</v>
      </c>
      <c r="E16" s="53" t="s">
        <v>174</v>
      </c>
      <c r="F16" s="30" t="s">
        <v>135</v>
      </c>
      <c r="G16" s="12">
        <v>1</v>
      </c>
      <c r="H16" s="13">
        <v>24</v>
      </c>
      <c r="I16" s="7">
        <v>1100</v>
      </c>
      <c r="J16" s="14">
        <v>1142</v>
      </c>
      <c r="K16" s="15">
        <f>L16+1142</f>
        <v>1142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0.39393939393939392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41130</v>
      </c>
      <c r="K17" s="15">
        <f>L17+26370+39325+19755+18405+40885+18620+38310</f>
        <v>242800</v>
      </c>
      <c r="L17" s="15">
        <f>4122*5+4104*5</f>
        <v>41130</v>
      </c>
      <c r="M17" s="15">
        <f t="shared" si="0"/>
        <v>41130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0.39393939393939392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175</v>
      </c>
      <c r="F18" s="30" t="s">
        <v>159</v>
      </c>
      <c r="G18" s="33">
        <v>1</v>
      </c>
      <c r="H18" s="35">
        <v>24</v>
      </c>
      <c r="I18" s="7">
        <v>1000</v>
      </c>
      <c r="J18" s="14">
        <v>1509</v>
      </c>
      <c r="K18" s="15">
        <f>L18+1509</f>
        <v>1509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0.39393939393939392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171</v>
      </c>
      <c r="F19" s="30" t="s">
        <v>127</v>
      </c>
      <c r="G19" s="33">
        <v>1</v>
      </c>
      <c r="H19" s="35">
        <v>24</v>
      </c>
      <c r="I19" s="7">
        <v>14000</v>
      </c>
      <c r="J19" s="14">
        <v>4925</v>
      </c>
      <c r="K19" s="15">
        <f>L19+4841+2414+5167</f>
        <v>17347</v>
      </c>
      <c r="L19" s="15">
        <f>2413+2512</f>
        <v>4925</v>
      </c>
      <c r="M19" s="15">
        <f t="shared" si="0"/>
        <v>4925</v>
      </c>
      <c r="N19" s="15">
        <v>0</v>
      </c>
      <c r="O19" s="58">
        <f t="shared" si="1"/>
        <v>0</v>
      </c>
      <c r="P19" s="39">
        <f t="shared" si="2"/>
        <v>23</v>
      </c>
      <c r="Q19" s="40">
        <f t="shared" si="3"/>
        <v>1</v>
      </c>
      <c r="R19" s="7">
        <v>1</v>
      </c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0.95833333333333337</v>
      </c>
      <c r="AD19" s="10">
        <f t="shared" si="6"/>
        <v>0.95833333333333337</v>
      </c>
      <c r="AE19" s="36">
        <f t="shared" si="7"/>
        <v>0.39393939393939392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153</v>
      </c>
      <c r="F20" s="30" t="s">
        <v>154</v>
      </c>
      <c r="G20" s="12">
        <v>1</v>
      </c>
      <c r="H20" s="13">
        <v>24</v>
      </c>
      <c r="I20" s="7">
        <v>230000</v>
      </c>
      <c r="J20" s="14">
        <v>11136</v>
      </c>
      <c r="K20" s="15">
        <f>L20+7008+11154+9077+8768+10676+10588+2521+7242+10236+10216+10614+10620+10632+10760+10206+10892+10136+10692+10896+9992+10630+10894+7459+6981+3140+4342+308+5171+4481+8214+10962+10104+10526+2972+11136</f>
        <v>300246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0.39393939393939392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61696</v>
      </c>
      <c r="K21" s="15">
        <f>L21+50740+61508+62116+62068+58848+54656</f>
        <v>411632</v>
      </c>
      <c r="L21" s="15">
        <f>7727*4+7697*4</f>
        <v>61696</v>
      </c>
      <c r="M21" s="15">
        <f t="shared" si="0"/>
        <v>61696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0.39393939393939392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0.39393939393939392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0.39393939393939392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0.39393939393939392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0.39393939393939392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0.39393939393939392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151</v>
      </c>
      <c r="F27" s="12" t="s">
        <v>152</v>
      </c>
      <c r="G27" s="12">
        <v>32</v>
      </c>
      <c r="H27" s="35">
        <v>20</v>
      </c>
      <c r="I27" s="7">
        <v>1300000</v>
      </c>
      <c r="J27" s="14">
        <v>199470</v>
      </c>
      <c r="K27" s="15">
        <f>L27+356070+486150+492600+465600+199470</f>
        <v>1999890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15</v>
      </c>
      <c r="R27" s="7"/>
      <c r="S27" s="6"/>
      <c r="T27" s="16"/>
      <c r="U27" s="16"/>
      <c r="V27" s="120"/>
      <c r="W27" s="5">
        <v>15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0.39393939393939392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3986300</v>
      </c>
      <c r="J28" s="19">
        <f t="shared" si="9"/>
        <v>427593</v>
      </c>
      <c r="K28" s="20">
        <f t="shared" si="9"/>
        <v>4293215</v>
      </c>
      <c r="L28" s="21">
        <f t="shared" si="9"/>
        <v>156453</v>
      </c>
      <c r="M28" s="20">
        <f t="shared" si="9"/>
        <v>156453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208</v>
      </c>
      <c r="Q28" s="43">
        <f t="shared" si="10"/>
        <v>311</v>
      </c>
      <c r="R28" s="23">
        <f t="shared" si="10"/>
        <v>1</v>
      </c>
      <c r="S28" s="24">
        <f t="shared" si="10"/>
        <v>6</v>
      </c>
      <c r="T28" s="24">
        <f t="shared" si="10"/>
        <v>1</v>
      </c>
      <c r="U28" s="24">
        <f t="shared" si="10"/>
        <v>0</v>
      </c>
      <c r="V28" s="25">
        <f t="shared" si="10"/>
        <v>0</v>
      </c>
      <c r="W28" s="26">
        <f t="shared" si="10"/>
        <v>279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24</v>
      </c>
      <c r="AB28" s="28">
        <f>AVERAGE(AB6:AB27)</f>
        <v>0.45</v>
      </c>
      <c r="AC28" s="4">
        <f>AVERAGE(AC6:AC27)</f>
        <v>0.39393939393939392</v>
      </c>
      <c r="AD28" s="4">
        <f>AVERAGE(AD6:AD27)</f>
        <v>0.39393939393939392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183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191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122" t="s">
        <v>46</v>
      </c>
      <c r="D57" s="122" t="s">
        <v>47</v>
      </c>
      <c r="E57" s="122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122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134</v>
      </c>
      <c r="B58" s="507"/>
      <c r="C58" s="125" t="s">
        <v>156</v>
      </c>
      <c r="D58" s="125" t="s">
        <v>137</v>
      </c>
      <c r="E58" s="125" t="s">
        <v>160</v>
      </c>
      <c r="F58" s="504" t="s">
        <v>184</v>
      </c>
      <c r="G58" s="505"/>
      <c r="H58" s="505"/>
      <c r="I58" s="505"/>
      <c r="J58" s="505"/>
      <c r="K58" s="505"/>
      <c r="L58" s="505"/>
      <c r="M58" s="506"/>
      <c r="N58" s="124" t="s">
        <v>197</v>
      </c>
      <c r="O58" s="130" t="s">
        <v>198</v>
      </c>
      <c r="P58" s="518"/>
      <c r="Q58" s="519"/>
      <c r="R58" s="518" t="s">
        <v>192</v>
      </c>
      <c r="S58" s="520"/>
      <c r="T58" s="520"/>
      <c r="U58" s="519"/>
      <c r="V58" s="504" t="s">
        <v>123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125" t="s">
        <v>157</v>
      </c>
      <c r="D59" s="125" t="s">
        <v>178</v>
      </c>
      <c r="E59" s="125" t="s">
        <v>177</v>
      </c>
      <c r="F59" s="504" t="s">
        <v>123</v>
      </c>
      <c r="G59" s="505"/>
      <c r="H59" s="505"/>
      <c r="I59" s="505"/>
      <c r="J59" s="505"/>
      <c r="K59" s="505"/>
      <c r="L59" s="505"/>
      <c r="M59" s="506"/>
      <c r="N59" s="124" t="s">
        <v>197</v>
      </c>
      <c r="O59" s="130" t="s">
        <v>199</v>
      </c>
      <c r="P59" s="518"/>
      <c r="Q59" s="519"/>
      <c r="R59" s="518" t="s">
        <v>193</v>
      </c>
      <c r="S59" s="520"/>
      <c r="T59" s="520"/>
      <c r="U59" s="519"/>
      <c r="V59" s="504" t="s">
        <v>123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125" t="s">
        <v>186</v>
      </c>
      <c r="D60" s="125" t="s">
        <v>187</v>
      </c>
      <c r="E60" s="125" t="s">
        <v>185</v>
      </c>
      <c r="F60" s="504" t="s">
        <v>123</v>
      </c>
      <c r="G60" s="505"/>
      <c r="H60" s="505"/>
      <c r="I60" s="505"/>
      <c r="J60" s="505"/>
      <c r="K60" s="505"/>
      <c r="L60" s="505"/>
      <c r="M60" s="506"/>
      <c r="N60" s="124" t="s">
        <v>197</v>
      </c>
      <c r="O60" s="130" t="s">
        <v>157</v>
      </c>
      <c r="P60" s="518"/>
      <c r="Q60" s="519"/>
      <c r="R60" s="518" t="s">
        <v>194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112</v>
      </c>
      <c r="B61" s="507"/>
      <c r="C61" s="125" t="s">
        <v>190</v>
      </c>
      <c r="D61" s="125" t="s">
        <v>187</v>
      </c>
      <c r="E61" s="125" t="s">
        <v>188</v>
      </c>
      <c r="F61" s="504" t="s">
        <v>189</v>
      </c>
      <c r="G61" s="505"/>
      <c r="H61" s="505"/>
      <c r="I61" s="505"/>
      <c r="J61" s="505"/>
      <c r="K61" s="505"/>
      <c r="L61" s="505"/>
      <c r="M61" s="506"/>
      <c r="N61" s="124" t="s">
        <v>200</v>
      </c>
      <c r="O61" s="130" t="s">
        <v>201</v>
      </c>
      <c r="P61" s="518" t="s">
        <v>202</v>
      </c>
      <c r="Q61" s="519"/>
      <c r="R61" s="518" t="s">
        <v>195</v>
      </c>
      <c r="S61" s="520"/>
      <c r="T61" s="520"/>
      <c r="U61" s="519"/>
      <c r="V61" s="504" t="s">
        <v>123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/>
      <c r="B62" s="507"/>
      <c r="C62" s="125"/>
      <c r="D62" s="125"/>
      <c r="E62" s="125"/>
      <c r="F62" s="504"/>
      <c r="G62" s="505"/>
      <c r="H62" s="505"/>
      <c r="I62" s="505"/>
      <c r="J62" s="505"/>
      <c r="K62" s="505"/>
      <c r="L62" s="505"/>
      <c r="M62" s="506"/>
      <c r="N62" s="124" t="s">
        <v>203</v>
      </c>
      <c r="O62" s="130" t="s">
        <v>190</v>
      </c>
      <c r="P62" s="518" t="s">
        <v>187</v>
      </c>
      <c r="Q62" s="519"/>
      <c r="R62" s="518" t="s">
        <v>196</v>
      </c>
      <c r="S62" s="520"/>
      <c r="T62" s="520"/>
      <c r="U62" s="519"/>
      <c r="V62" s="504" t="s">
        <v>123</v>
      </c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/>
      <c r="B63" s="507"/>
      <c r="C63" s="125"/>
      <c r="D63" s="125"/>
      <c r="E63" s="125"/>
      <c r="F63" s="504"/>
      <c r="G63" s="505"/>
      <c r="H63" s="505"/>
      <c r="I63" s="505"/>
      <c r="J63" s="505"/>
      <c r="K63" s="505"/>
      <c r="L63" s="505"/>
      <c r="M63" s="506"/>
      <c r="N63" s="124"/>
      <c r="O63" s="130"/>
      <c r="P63" s="518"/>
      <c r="Q63" s="519"/>
      <c r="R63" s="518"/>
      <c r="S63" s="520"/>
      <c r="T63" s="520"/>
      <c r="U63" s="519"/>
      <c r="V63" s="491"/>
      <c r="W63" s="491"/>
      <c r="X63" s="491"/>
      <c r="Y63" s="491"/>
      <c r="Z63" s="491"/>
      <c r="AA63" s="491"/>
      <c r="AB63" s="491"/>
      <c r="AC63" s="491"/>
      <c r="AD63" s="508"/>
    </row>
    <row r="64" spans="1:32" ht="27" customHeight="1">
      <c r="A64" s="517"/>
      <c r="B64" s="507"/>
      <c r="C64" s="125"/>
      <c r="D64" s="125"/>
      <c r="E64" s="125"/>
      <c r="F64" s="504"/>
      <c r="G64" s="505"/>
      <c r="H64" s="505"/>
      <c r="I64" s="505"/>
      <c r="J64" s="505"/>
      <c r="K64" s="505"/>
      <c r="L64" s="505"/>
      <c r="M64" s="506"/>
      <c r="N64" s="124"/>
      <c r="O64" s="130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123"/>
      <c r="D65" s="123"/>
      <c r="E65" s="125"/>
      <c r="F65" s="504"/>
      <c r="G65" s="505"/>
      <c r="H65" s="505"/>
      <c r="I65" s="505"/>
      <c r="J65" s="505"/>
      <c r="K65" s="505"/>
      <c r="L65" s="505"/>
      <c r="M65" s="506"/>
      <c r="N65" s="124"/>
      <c r="O65" s="130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123"/>
      <c r="D66" s="123"/>
      <c r="E66" s="125"/>
      <c r="F66" s="504"/>
      <c r="G66" s="505"/>
      <c r="H66" s="505"/>
      <c r="I66" s="505"/>
      <c r="J66" s="505"/>
      <c r="K66" s="505"/>
      <c r="L66" s="505"/>
      <c r="M66" s="506"/>
      <c r="N66" s="124"/>
      <c r="O66" s="130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126"/>
      <c r="D67" s="127"/>
      <c r="E67" s="126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204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128" t="s">
        <v>2</v>
      </c>
      <c r="D69" s="128" t="s">
        <v>37</v>
      </c>
      <c r="E69" s="128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128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112</v>
      </c>
      <c r="D70" s="132"/>
      <c r="E70" s="129" t="s">
        <v>121</v>
      </c>
      <c r="F70" s="488" t="s">
        <v>205</v>
      </c>
      <c r="G70" s="478"/>
      <c r="H70" s="478"/>
      <c r="I70" s="478"/>
      <c r="J70" s="478"/>
      <c r="K70" s="478" t="s">
        <v>136</v>
      </c>
      <c r="L70" s="478"/>
      <c r="M70" s="51" t="s">
        <v>155</v>
      </c>
      <c r="N70" s="489" t="s">
        <v>148</v>
      </c>
      <c r="O70" s="489"/>
      <c r="P70" s="490">
        <v>50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/>
      <c r="D71" s="132"/>
      <c r="E71" s="129"/>
      <c r="F71" s="492"/>
      <c r="G71" s="493"/>
      <c r="H71" s="493"/>
      <c r="I71" s="493"/>
      <c r="J71" s="494"/>
      <c r="K71" s="478"/>
      <c r="L71" s="478"/>
      <c r="M71" s="51"/>
      <c r="N71" s="489"/>
      <c r="O71" s="489"/>
      <c r="P71" s="490"/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/>
      <c r="D72" s="132"/>
      <c r="E72" s="129"/>
      <c r="F72" s="492"/>
      <c r="G72" s="493"/>
      <c r="H72" s="493"/>
      <c r="I72" s="493"/>
      <c r="J72" s="494"/>
      <c r="K72" s="478"/>
      <c r="L72" s="478"/>
      <c r="M72" s="51"/>
      <c r="N72" s="489"/>
      <c r="O72" s="489"/>
      <c r="P72" s="490"/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132"/>
      <c r="E73" s="129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132"/>
      <c r="E74" s="129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132"/>
      <c r="E75" s="129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132"/>
      <c r="E76" s="129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132"/>
      <c r="E77" s="129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132"/>
      <c r="E78" s="129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132"/>
      <c r="E79" s="129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206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131" t="s">
        <v>2</v>
      </c>
      <c r="D81" s="131" t="s">
        <v>37</v>
      </c>
      <c r="E81" s="131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133"/>
      <c r="D82" s="133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132"/>
      <c r="D83" s="132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132"/>
      <c r="D84" s="132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132"/>
      <c r="D85" s="132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132"/>
      <c r="D86" s="132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132"/>
      <c r="D87" s="132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132"/>
      <c r="D88" s="132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207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>
        <v>9</v>
      </c>
      <c r="D91" s="454"/>
      <c r="E91" s="454" t="s">
        <v>124</v>
      </c>
      <c r="F91" s="454"/>
      <c r="G91" s="454"/>
      <c r="H91" s="454"/>
      <c r="I91" s="454"/>
      <c r="J91" s="454"/>
      <c r="K91" s="454" t="s">
        <v>129</v>
      </c>
      <c r="L91" s="454"/>
      <c r="M91" s="454"/>
      <c r="N91" s="454"/>
      <c r="O91" s="454"/>
      <c r="P91" s="454"/>
      <c r="Q91" s="454"/>
      <c r="R91" s="454"/>
      <c r="S91" s="454"/>
      <c r="T91" s="454" t="s">
        <v>125</v>
      </c>
      <c r="U91" s="454"/>
      <c r="V91" s="455">
        <v>1900000</v>
      </c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4D9A-2611-4DBC-934A-089522950841}">
  <sheetPr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208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134" t="s">
        <v>17</v>
      </c>
      <c r="L5" s="134" t="s">
        <v>18</v>
      </c>
      <c r="M5" s="134" t="s">
        <v>19</v>
      </c>
      <c r="N5" s="13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209</v>
      </c>
      <c r="E6" s="53" t="s">
        <v>210</v>
      </c>
      <c r="F6" s="30" t="s">
        <v>211</v>
      </c>
      <c r="G6" s="12">
        <v>1</v>
      </c>
      <c r="H6" s="13">
        <v>24</v>
      </c>
      <c r="I6" s="31">
        <v>8000</v>
      </c>
      <c r="J6" s="14">
        <v>4354</v>
      </c>
      <c r="K6" s="15">
        <f>L6</f>
        <v>4354</v>
      </c>
      <c r="L6" s="15">
        <f>1543+2811</f>
        <v>4354</v>
      </c>
      <c r="M6" s="15">
        <f t="shared" ref="M6:M27" si="0">L6-N6</f>
        <v>4354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21</v>
      </c>
      <c r="Q6" s="40">
        <f t="shared" ref="Q6:Q27" si="3">SUM(R6:AA6)</f>
        <v>3</v>
      </c>
      <c r="R6" s="7"/>
      <c r="S6" s="6"/>
      <c r="T6" s="16"/>
      <c r="U6" s="16"/>
      <c r="V6" s="17"/>
      <c r="W6" s="5"/>
      <c r="X6" s="16"/>
      <c r="Y6" s="16"/>
      <c r="Z6" s="16"/>
      <c r="AA6" s="18">
        <v>3</v>
      </c>
      <c r="AB6" s="8">
        <f t="shared" ref="AB6:AB27" si="4">IF(J6=0,"0",(L6/J6))</f>
        <v>1</v>
      </c>
      <c r="AC6" s="9">
        <f t="shared" ref="AC6:AC27" si="5">IF(P6=0,"0",(P6/24))</f>
        <v>0.875</v>
      </c>
      <c r="AD6" s="10">
        <f t="shared" ref="AD6:AD27" si="6">AC6*AB6*(1-O6)</f>
        <v>0.875</v>
      </c>
      <c r="AE6" s="36">
        <f t="shared" ref="AE6:AE27" si="7">$AD$28</f>
        <v>0.39393939393939398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9113</v>
      </c>
      <c r="K7" s="15">
        <f>L7+4540+5413+4776+3810+3773+2780+4786+5910+5528+3614+7707+9828+3822+6888+11032</f>
        <v>93320</v>
      </c>
      <c r="L7" s="15">
        <f>1109*2+2630*2+1635</f>
        <v>9113</v>
      </c>
      <c r="M7" s="15">
        <f t="shared" si="0"/>
        <v>9113</v>
      </c>
      <c r="N7" s="15">
        <v>0</v>
      </c>
      <c r="O7" s="58">
        <f t="shared" si="1"/>
        <v>0</v>
      </c>
      <c r="P7" s="39">
        <f t="shared" si="2"/>
        <v>22</v>
      </c>
      <c r="Q7" s="40">
        <f t="shared" si="3"/>
        <v>2</v>
      </c>
      <c r="R7" s="7"/>
      <c r="S7" s="6">
        <v>2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0.91666666666666663</v>
      </c>
      <c r="AD7" s="10">
        <f t="shared" si="6"/>
        <v>0.91666666666666663</v>
      </c>
      <c r="AE7" s="36">
        <f t="shared" si="7"/>
        <v>0.39393939393939398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100000</v>
      </c>
      <c r="J8" s="14">
        <v>1708</v>
      </c>
      <c r="K8" s="15">
        <f>L8</f>
        <v>1708</v>
      </c>
      <c r="L8" s="15">
        <f>854*2</f>
        <v>1708</v>
      </c>
      <c r="M8" s="15">
        <f t="shared" si="0"/>
        <v>1708</v>
      </c>
      <c r="N8" s="15">
        <v>0</v>
      </c>
      <c r="O8" s="58">
        <f t="shared" si="1"/>
        <v>0</v>
      </c>
      <c r="P8" s="39">
        <f t="shared" si="2"/>
        <v>4</v>
      </c>
      <c r="Q8" s="40">
        <f t="shared" si="3"/>
        <v>20</v>
      </c>
      <c r="R8" s="7"/>
      <c r="S8" s="6">
        <v>20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0.16666666666666666</v>
      </c>
      <c r="AD8" s="10">
        <f t="shared" si="6"/>
        <v>0.16666666666666666</v>
      </c>
      <c r="AE8" s="36">
        <f t="shared" si="7"/>
        <v>0.39393939393939398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197</v>
      </c>
      <c r="D9" s="52"/>
      <c r="E9" s="53" t="s">
        <v>193</v>
      </c>
      <c r="F9" s="30" t="s">
        <v>212</v>
      </c>
      <c r="G9" s="12">
        <v>2</v>
      </c>
      <c r="H9" s="13">
        <v>24</v>
      </c>
      <c r="I9" s="7">
        <v>100000</v>
      </c>
      <c r="J9" s="14">
        <v>11914</v>
      </c>
      <c r="K9" s="15">
        <f>L9</f>
        <v>11914</v>
      </c>
      <c r="L9" s="15">
        <f>2741*2+3216*2</f>
        <v>11914</v>
      </c>
      <c r="M9" s="15">
        <f t="shared" si="0"/>
        <v>11914</v>
      </c>
      <c r="N9" s="15">
        <v>0</v>
      </c>
      <c r="O9" s="58">
        <f t="shared" si="1"/>
        <v>0</v>
      </c>
      <c r="P9" s="39">
        <f t="shared" si="2"/>
        <v>23</v>
      </c>
      <c r="Q9" s="40">
        <f t="shared" si="3"/>
        <v>1</v>
      </c>
      <c r="R9" s="7"/>
      <c r="S9" s="6"/>
      <c r="T9" s="16">
        <v>1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6">
        <f t="shared" si="7"/>
        <v>0.39393939393939398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100000</v>
      </c>
      <c r="J10" s="14">
        <v>11830</v>
      </c>
      <c r="K10" s="15">
        <f>L10</f>
        <v>11830</v>
      </c>
      <c r="L10" s="15">
        <f>2699*2+3216*2</f>
        <v>11830</v>
      </c>
      <c r="M10" s="15">
        <f t="shared" si="0"/>
        <v>11830</v>
      </c>
      <c r="N10" s="15">
        <v>0</v>
      </c>
      <c r="O10" s="58">
        <f t="shared" si="1"/>
        <v>0</v>
      </c>
      <c r="P10" s="39">
        <f t="shared" si="2"/>
        <v>23</v>
      </c>
      <c r="Q10" s="40">
        <f t="shared" si="3"/>
        <v>1</v>
      </c>
      <c r="R10" s="7"/>
      <c r="S10" s="6"/>
      <c r="T10" s="16">
        <v>1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0.95833333333333337</v>
      </c>
      <c r="AD10" s="10">
        <f t="shared" si="6"/>
        <v>0.95833333333333337</v>
      </c>
      <c r="AE10" s="36">
        <f t="shared" si="7"/>
        <v>0.39393939393939398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202</v>
      </c>
      <c r="E11" s="53" t="s">
        <v>195</v>
      </c>
      <c r="F11" s="30" t="s">
        <v>126</v>
      </c>
      <c r="G11" s="33">
        <v>2</v>
      </c>
      <c r="H11" s="35">
        <v>24</v>
      </c>
      <c r="I11" s="7">
        <v>3000</v>
      </c>
      <c r="J11" s="14">
        <v>7296</v>
      </c>
      <c r="K11" s="15">
        <f>L11</f>
        <v>7296</v>
      </c>
      <c r="L11" s="15">
        <f>671*2+2977*2</f>
        <v>7296</v>
      </c>
      <c r="M11" s="15">
        <f t="shared" si="0"/>
        <v>7296</v>
      </c>
      <c r="N11" s="15">
        <v>0</v>
      </c>
      <c r="O11" s="58">
        <f t="shared" si="1"/>
        <v>0</v>
      </c>
      <c r="P11" s="39">
        <f t="shared" si="2"/>
        <v>19</v>
      </c>
      <c r="Q11" s="40">
        <f t="shared" si="3"/>
        <v>5</v>
      </c>
      <c r="R11" s="7"/>
      <c r="S11" s="6">
        <v>5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0.79166666666666663</v>
      </c>
      <c r="AD11" s="10">
        <f t="shared" si="6"/>
        <v>0.79166666666666663</v>
      </c>
      <c r="AE11" s="36">
        <f t="shared" si="7"/>
        <v>0.39393939393939398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170</v>
      </c>
      <c r="F12" s="30" t="s">
        <v>136</v>
      </c>
      <c r="G12" s="12">
        <v>1</v>
      </c>
      <c r="H12" s="13">
        <v>22</v>
      </c>
      <c r="I12" s="31">
        <v>5000</v>
      </c>
      <c r="J12" s="5">
        <v>1829</v>
      </c>
      <c r="K12" s="15">
        <f>L12+2328+401+989+1829</f>
        <v>5547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0.39393939393939398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115</v>
      </c>
      <c r="E13" s="53" t="s">
        <v>172</v>
      </c>
      <c r="F13" s="30" t="s">
        <v>126</v>
      </c>
      <c r="G13" s="33">
        <v>1</v>
      </c>
      <c r="H13" s="35">
        <v>22</v>
      </c>
      <c r="I13" s="7">
        <v>14000</v>
      </c>
      <c r="J13" s="14">
        <v>4978</v>
      </c>
      <c r="K13" s="15">
        <f>L13+4958+5211</f>
        <v>15147</v>
      </c>
      <c r="L13" s="15">
        <f>2577+2401</f>
        <v>4978</v>
      </c>
      <c r="M13" s="15">
        <f t="shared" si="0"/>
        <v>4978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0.39393939393939398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166</v>
      </c>
      <c r="E14" s="53" t="s">
        <v>165</v>
      </c>
      <c r="F14" s="30" t="s">
        <v>149</v>
      </c>
      <c r="G14" s="33">
        <v>1</v>
      </c>
      <c r="H14" s="35">
        <v>50</v>
      </c>
      <c r="I14" s="7">
        <v>700</v>
      </c>
      <c r="J14" s="5">
        <v>750</v>
      </c>
      <c r="K14" s="15">
        <f>L14+750</f>
        <v>750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0.39393939393939398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0.39393939393939398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134</v>
      </c>
      <c r="D16" s="52" t="s">
        <v>173</v>
      </c>
      <c r="E16" s="53" t="s">
        <v>174</v>
      </c>
      <c r="F16" s="30" t="s">
        <v>135</v>
      </c>
      <c r="G16" s="12">
        <v>1</v>
      </c>
      <c r="H16" s="13">
        <v>24</v>
      </c>
      <c r="I16" s="7">
        <v>1100</v>
      </c>
      <c r="J16" s="14">
        <v>1142</v>
      </c>
      <c r="K16" s="15">
        <f>L16+1142</f>
        <v>1142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0.39393939393939398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40940</v>
      </c>
      <c r="K17" s="15">
        <f>L17+26370+39325+19755+18405+40885+18620+38310+41130</f>
        <v>283740</v>
      </c>
      <c r="L17" s="15">
        <f>4075*5+4113*5</f>
        <v>40940</v>
      </c>
      <c r="M17" s="15">
        <f t="shared" si="0"/>
        <v>40940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0.39393939393939398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175</v>
      </c>
      <c r="F18" s="30" t="s">
        <v>159</v>
      </c>
      <c r="G18" s="33">
        <v>1</v>
      </c>
      <c r="H18" s="35">
        <v>24</v>
      </c>
      <c r="I18" s="7">
        <v>1000</v>
      </c>
      <c r="J18" s="14">
        <v>1509</v>
      </c>
      <c r="K18" s="15">
        <f>L18+1509</f>
        <v>1509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0.39393939393939398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196</v>
      </c>
      <c r="F19" s="30" t="s">
        <v>127</v>
      </c>
      <c r="G19" s="33">
        <v>1</v>
      </c>
      <c r="H19" s="35">
        <v>24</v>
      </c>
      <c r="I19" s="7">
        <v>20000</v>
      </c>
      <c r="J19" s="14">
        <v>5252</v>
      </c>
      <c r="K19" s="15">
        <f>L19</f>
        <v>5252</v>
      </c>
      <c r="L19" s="15">
        <f>2495+2757</f>
        <v>5252</v>
      </c>
      <c r="M19" s="15">
        <f t="shared" si="0"/>
        <v>5252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0.39393939393939398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153</v>
      </c>
      <c r="F20" s="30" t="s">
        <v>154</v>
      </c>
      <c r="G20" s="12">
        <v>1</v>
      </c>
      <c r="H20" s="13">
        <v>24</v>
      </c>
      <c r="I20" s="7">
        <v>230000</v>
      </c>
      <c r="J20" s="14">
        <v>11136</v>
      </c>
      <c r="K20" s="15">
        <f>L20+7008+11154+9077+8768+10676+10588+2521+7242+10236+10216+10614+10620+10632+10760+10206+10892+10136+10692+10896+9992+10630+10894+7459+6981+3140+4342+308+5171+4481+8214+10962+10104+10526+2972+11136</f>
        <v>300246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0.39393939393939398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61724</v>
      </c>
      <c r="K21" s="15">
        <f>L21+50740+61508+62116+62068+58848+54656+61696</f>
        <v>473356</v>
      </c>
      <c r="L21" s="15">
        <f>7711*4+7720*4</f>
        <v>61724</v>
      </c>
      <c r="M21" s="15">
        <f t="shared" si="0"/>
        <v>61724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0.39393939393939398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0.39393939393939398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0.39393939393939398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0.39393939393939398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0.39393939393939398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0.39393939393939398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151</v>
      </c>
      <c r="F27" s="12" t="s">
        <v>152</v>
      </c>
      <c r="G27" s="12">
        <v>32</v>
      </c>
      <c r="H27" s="35">
        <v>20</v>
      </c>
      <c r="I27" s="7">
        <v>1300000</v>
      </c>
      <c r="J27" s="14">
        <v>199470</v>
      </c>
      <c r="K27" s="15">
        <f>L27+356070+486150+492600+465600+199470</f>
        <v>1999890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15</v>
      </c>
      <c r="R27" s="7"/>
      <c r="S27" s="6"/>
      <c r="T27" s="16"/>
      <c r="U27" s="16"/>
      <c r="V27" s="120"/>
      <c r="W27" s="5">
        <v>15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0.39393939393939398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3934800</v>
      </c>
      <c r="J28" s="19">
        <f t="shared" si="9"/>
        <v>426077</v>
      </c>
      <c r="K28" s="20">
        <f t="shared" si="9"/>
        <v>3962377</v>
      </c>
      <c r="L28" s="21">
        <f t="shared" si="9"/>
        <v>159109</v>
      </c>
      <c r="M28" s="20">
        <f t="shared" si="9"/>
        <v>159109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208</v>
      </c>
      <c r="Q28" s="43">
        <f t="shared" si="10"/>
        <v>311</v>
      </c>
      <c r="R28" s="23">
        <f t="shared" si="10"/>
        <v>0</v>
      </c>
      <c r="S28" s="24">
        <f t="shared" si="10"/>
        <v>27</v>
      </c>
      <c r="T28" s="24">
        <f t="shared" si="10"/>
        <v>2</v>
      </c>
      <c r="U28" s="24">
        <f t="shared" si="10"/>
        <v>0</v>
      </c>
      <c r="V28" s="25">
        <f t="shared" si="10"/>
        <v>0</v>
      </c>
      <c r="W28" s="26">
        <f t="shared" si="10"/>
        <v>255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27</v>
      </c>
      <c r="AB28" s="28">
        <f>AVERAGE(AB6:AB27)</f>
        <v>0.5</v>
      </c>
      <c r="AC28" s="4">
        <f>AVERAGE(AC6:AC27)</f>
        <v>0.39393939393939398</v>
      </c>
      <c r="AD28" s="4">
        <f>AVERAGE(AD6:AD27)</f>
        <v>0.39393939393939398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213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216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135" t="s">
        <v>46</v>
      </c>
      <c r="D57" s="135" t="s">
        <v>47</v>
      </c>
      <c r="E57" s="135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135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134</v>
      </c>
      <c r="B58" s="507"/>
      <c r="C58" s="137" t="s">
        <v>156</v>
      </c>
      <c r="D58" s="137" t="s">
        <v>137</v>
      </c>
      <c r="E58" s="137" t="s">
        <v>160</v>
      </c>
      <c r="F58" s="504" t="s">
        <v>214</v>
      </c>
      <c r="G58" s="505"/>
      <c r="H58" s="505"/>
      <c r="I58" s="505"/>
      <c r="J58" s="505"/>
      <c r="K58" s="505"/>
      <c r="L58" s="505"/>
      <c r="M58" s="506"/>
      <c r="N58" s="136" t="s">
        <v>134</v>
      </c>
      <c r="O58" s="143" t="s">
        <v>156</v>
      </c>
      <c r="P58" s="518" t="s">
        <v>137</v>
      </c>
      <c r="Q58" s="519"/>
      <c r="R58" s="518" t="s">
        <v>160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137" t="s">
        <v>186</v>
      </c>
      <c r="D59" s="137" t="s">
        <v>209</v>
      </c>
      <c r="E59" s="137" t="s">
        <v>210</v>
      </c>
      <c r="F59" s="504" t="s">
        <v>123</v>
      </c>
      <c r="G59" s="505"/>
      <c r="H59" s="505"/>
      <c r="I59" s="505"/>
      <c r="J59" s="505"/>
      <c r="K59" s="505"/>
      <c r="L59" s="505"/>
      <c r="M59" s="506"/>
      <c r="N59" s="136" t="s">
        <v>197</v>
      </c>
      <c r="O59" s="143" t="s">
        <v>198</v>
      </c>
      <c r="P59" s="518"/>
      <c r="Q59" s="519"/>
      <c r="R59" s="518" t="s">
        <v>192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197</v>
      </c>
      <c r="B60" s="507"/>
      <c r="C60" s="137" t="s">
        <v>198</v>
      </c>
      <c r="D60" s="137"/>
      <c r="E60" s="137" t="s">
        <v>192</v>
      </c>
      <c r="F60" s="504" t="s">
        <v>215</v>
      </c>
      <c r="G60" s="505"/>
      <c r="H60" s="505"/>
      <c r="I60" s="505"/>
      <c r="J60" s="505"/>
      <c r="K60" s="505"/>
      <c r="L60" s="505"/>
      <c r="M60" s="506"/>
      <c r="N60" s="136" t="s">
        <v>112</v>
      </c>
      <c r="O60" s="143" t="s">
        <v>219</v>
      </c>
      <c r="P60" s="518" t="s">
        <v>115</v>
      </c>
      <c r="Q60" s="519"/>
      <c r="R60" s="518" t="s">
        <v>218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197</v>
      </c>
      <c r="B61" s="507"/>
      <c r="C61" s="137" t="s">
        <v>199</v>
      </c>
      <c r="D61" s="137"/>
      <c r="E61" s="137" t="s">
        <v>193</v>
      </c>
      <c r="F61" s="504" t="s">
        <v>123</v>
      </c>
      <c r="G61" s="505"/>
      <c r="H61" s="505"/>
      <c r="I61" s="505"/>
      <c r="J61" s="505"/>
      <c r="K61" s="505"/>
      <c r="L61" s="505"/>
      <c r="M61" s="506"/>
      <c r="N61" s="136" t="s">
        <v>112</v>
      </c>
      <c r="O61" s="143" t="s">
        <v>220</v>
      </c>
      <c r="P61" s="518" t="s">
        <v>133</v>
      </c>
      <c r="Q61" s="519"/>
      <c r="R61" s="518" t="s">
        <v>221</v>
      </c>
      <c r="S61" s="520"/>
      <c r="T61" s="520"/>
      <c r="U61" s="519"/>
      <c r="V61" s="504" t="s">
        <v>123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197</v>
      </c>
      <c r="B62" s="507"/>
      <c r="C62" s="137" t="s">
        <v>157</v>
      </c>
      <c r="D62" s="137"/>
      <c r="E62" s="137" t="s">
        <v>194</v>
      </c>
      <c r="F62" s="504" t="s">
        <v>123</v>
      </c>
      <c r="G62" s="505"/>
      <c r="H62" s="505"/>
      <c r="I62" s="505"/>
      <c r="J62" s="505"/>
      <c r="K62" s="505"/>
      <c r="L62" s="505"/>
      <c r="M62" s="506"/>
      <c r="N62" s="136" t="s">
        <v>112</v>
      </c>
      <c r="O62" s="143" t="s">
        <v>223</v>
      </c>
      <c r="P62" s="518" t="s">
        <v>115</v>
      </c>
      <c r="Q62" s="519"/>
      <c r="R62" s="518" t="s">
        <v>222</v>
      </c>
      <c r="S62" s="520"/>
      <c r="T62" s="520"/>
      <c r="U62" s="519"/>
      <c r="V62" s="504" t="s">
        <v>123</v>
      </c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 t="s">
        <v>116</v>
      </c>
      <c r="B63" s="507"/>
      <c r="C63" s="137" t="s">
        <v>201</v>
      </c>
      <c r="D63" s="137" t="s">
        <v>202</v>
      </c>
      <c r="E63" s="137" t="s">
        <v>195</v>
      </c>
      <c r="F63" s="504" t="s">
        <v>123</v>
      </c>
      <c r="G63" s="505"/>
      <c r="H63" s="505"/>
      <c r="I63" s="505"/>
      <c r="J63" s="505"/>
      <c r="K63" s="505"/>
      <c r="L63" s="505"/>
      <c r="M63" s="506"/>
      <c r="N63" s="136"/>
      <c r="O63" s="143"/>
      <c r="P63" s="518"/>
      <c r="Q63" s="519"/>
      <c r="R63" s="518"/>
      <c r="S63" s="520"/>
      <c r="T63" s="520"/>
      <c r="U63" s="519"/>
      <c r="V63" s="491"/>
      <c r="W63" s="491"/>
      <c r="X63" s="491"/>
      <c r="Y63" s="491"/>
      <c r="Z63" s="491"/>
      <c r="AA63" s="491"/>
      <c r="AB63" s="491"/>
      <c r="AC63" s="491"/>
      <c r="AD63" s="508"/>
    </row>
    <row r="64" spans="1:32" ht="27" customHeight="1">
      <c r="A64" s="517" t="s">
        <v>112</v>
      </c>
      <c r="B64" s="507"/>
      <c r="C64" s="137" t="s">
        <v>190</v>
      </c>
      <c r="D64" s="137" t="s">
        <v>133</v>
      </c>
      <c r="E64" s="137" t="s">
        <v>196</v>
      </c>
      <c r="F64" s="504" t="s">
        <v>123</v>
      </c>
      <c r="G64" s="505"/>
      <c r="H64" s="505"/>
      <c r="I64" s="505"/>
      <c r="J64" s="505"/>
      <c r="K64" s="505"/>
      <c r="L64" s="505"/>
      <c r="M64" s="506"/>
      <c r="N64" s="136"/>
      <c r="O64" s="143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140"/>
      <c r="D65" s="140"/>
      <c r="E65" s="137"/>
      <c r="F65" s="504"/>
      <c r="G65" s="505"/>
      <c r="H65" s="505"/>
      <c r="I65" s="505"/>
      <c r="J65" s="505"/>
      <c r="K65" s="505"/>
      <c r="L65" s="505"/>
      <c r="M65" s="506"/>
      <c r="N65" s="136"/>
      <c r="O65" s="143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140"/>
      <c r="D66" s="140"/>
      <c r="E66" s="137"/>
      <c r="F66" s="504"/>
      <c r="G66" s="505"/>
      <c r="H66" s="505"/>
      <c r="I66" s="505"/>
      <c r="J66" s="505"/>
      <c r="K66" s="505"/>
      <c r="L66" s="505"/>
      <c r="M66" s="506"/>
      <c r="N66" s="136"/>
      <c r="O66" s="143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138"/>
      <c r="D67" s="139"/>
      <c r="E67" s="138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224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141" t="s">
        <v>2</v>
      </c>
      <c r="D69" s="141" t="s">
        <v>37</v>
      </c>
      <c r="E69" s="141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141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226</v>
      </c>
      <c r="D70" s="145"/>
      <c r="E70" s="142"/>
      <c r="F70" s="488" t="s">
        <v>225</v>
      </c>
      <c r="G70" s="478"/>
      <c r="H70" s="478"/>
      <c r="I70" s="478"/>
      <c r="J70" s="478"/>
      <c r="K70" s="478" t="s">
        <v>211</v>
      </c>
      <c r="L70" s="478"/>
      <c r="M70" s="51" t="s">
        <v>227</v>
      </c>
      <c r="N70" s="489" t="s">
        <v>186</v>
      </c>
      <c r="O70" s="489"/>
      <c r="P70" s="490">
        <v>200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116</v>
      </c>
      <c r="D71" s="145"/>
      <c r="E71" s="142" t="s">
        <v>229</v>
      </c>
      <c r="F71" s="492" t="s">
        <v>228</v>
      </c>
      <c r="G71" s="493"/>
      <c r="H71" s="493"/>
      <c r="I71" s="493"/>
      <c r="J71" s="494"/>
      <c r="K71" s="478" t="s">
        <v>230</v>
      </c>
      <c r="L71" s="478"/>
      <c r="M71" s="51" t="s">
        <v>155</v>
      </c>
      <c r="N71" s="489" t="s">
        <v>231</v>
      </c>
      <c r="O71" s="489"/>
      <c r="P71" s="490">
        <v>50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 t="s">
        <v>112</v>
      </c>
      <c r="D72" s="145"/>
      <c r="E72" s="142" t="s">
        <v>202</v>
      </c>
      <c r="F72" s="492" t="s">
        <v>232</v>
      </c>
      <c r="G72" s="493"/>
      <c r="H72" s="493"/>
      <c r="I72" s="493"/>
      <c r="J72" s="494"/>
      <c r="K72" s="478" t="s">
        <v>126</v>
      </c>
      <c r="L72" s="478"/>
      <c r="M72" s="51" t="s">
        <v>155</v>
      </c>
      <c r="N72" s="489" t="s">
        <v>148</v>
      </c>
      <c r="O72" s="489"/>
      <c r="P72" s="490">
        <v>50</v>
      </c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 t="s">
        <v>112</v>
      </c>
      <c r="D73" s="145"/>
      <c r="E73" s="142" t="s">
        <v>202</v>
      </c>
      <c r="F73" s="492" t="s">
        <v>233</v>
      </c>
      <c r="G73" s="493"/>
      <c r="H73" s="493"/>
      <c r="I73" s="493"/>
      <c r="J73" s="494"/>
      <c r="K73" s="478" t="s">
        <v>126</v>
      </c>
      <c r="L73" s="478"/>
      <c r="M73" s="51" t="s">
        <v>155</v>
      </c>
      <c r="N73" s="489" t="s">
        <v>148</v>
      </c>
      <c r="O73" s="489"/>
      <c r="P73" s="490">
        <v>50</v>
      </c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145"/>
      <c r="E74" s="142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145"/>
      <c r="E75" s="142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145"/>
      <c r="E76" s="142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145"/>
      <c r="E77" s="142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145"/>
      <c r="E78" s="142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145"/>
      <c r="E79" s="142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234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144" t="s">
        <v>2</v>
      </c>
      <c r="D81" s="144" t="s">
        <v>37</v>
      </c>
      <c r="E81" s="144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146"/>
      <c r="D82" s="146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145"/>
      <c r="D83" s="145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145"/>
      <c r="D84" s="145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145"/>
      <c r="D85" s="145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145"/>
      <c r="D86" s="145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145"/>
      <c r="D87" s="145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145"/>
      <c r="D88" s="145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235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>
        <v>9</v>
      </c>
      <c r="D91" s="454"/>
      <c r="E91" s="454" t="s">
        <v>124</v>
      </c>
      <c r="F91" s="454"/>
      <c r="G91" s="454"/>
      <c r="H91" s="454"/>
      <c r="I91" s="454"/>
      <c r="J91" s="454"/>
      <c r="K91" s="454" t="s">
        <v>129</v>
      </c>
      <c r="L91" s="454"/>
      <c r="M91" s="454"/>
      <c r="N91" s="454"/>
      <c r="O91" s="454"/>
      <c r="P91" s="454"/>
      <c r="Q91" s="454"/>
      <c r="R91" s="454"/>
      <c r="S91" s="454"/>
      <c r="T91" s="454" t="s">
        <v>125</v>
      </c>
      <c r="U91" s="454"/>
      <c r="V91" s="455">
        <v>1900000</v>
      </c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3D86-EA4D-4835-A57C-FCB883F364DD}">
  <sheetPr>
    <pageSetUpPr fitToPage="1"/>
  </sheetPr>
  <dimension ref="A1:AF93"/>
  <sheetViews>
    <sheetView view="pageBreakPreview" zoomScale="70" zoomScaleNormal="72" zoomScaleSheetLayoutView="70" workbookViewId="0">
      <selection activeCell="F88" sqref="F88:J8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236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159" t="s">
        <v>17</v>
      </c>
      <c r="L5" s="159" t="s">
        <v>18</v>
      </c>
      <c r="M5" s="159" t="s">
        <v>19</v>
      </c>
      <c r="N5" s="15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209</v>
      </c>
      <c r="E6" s="53" t="s">
        <v>210</v>
      </c>
      <c r="F6" s="30" t="s">
        <v>211</v>
      </c>
      <c r="G6" s="12">
        <v>1</v>
      </c>
      <c r="H6" s="13">
        <v>24</v>
      </c>
      <c r="I6" s="31">
        <v>8000</v>
      </c>
      <c r="J6" s="14">
        <v>4120</v>
      </c>
      <c r="K6" s="15">
        <f>L6+4354</f>
        <v>8474</v>
      </c>
      <c r="L6" s="15">
        <f>1326+2794</f>
        <v>4120</v>
      </c>
      <c r="M6" s="15">
        <f t="shared" ref="M6:M27" si="0">L6-N6</f>
        <v>4120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21</v>
      </c>
      <c r="Q6" s="40">
        <f t="shared" ref="Q6:Q27" si="3">SUM(R6:AA6)</f>
        <v>3</v>
      </c>
      <c r="R6" s="7"/>
      <c r="S6" s="6"/>
      <c r="T6" s="16"/>
      <c r="U6" s="16"/>
      <c r="V6" s="17"/>
      <c r="W6" s="5">
        <v>3</v>
      </c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0.875</v>
      </c>
      <c r="AD6" s="10">
        <f t="shared" ref="AD6:AD27" si="6">AC6*AB6*(1-O6)</f>
        <v>0.875</v>
      </c>
      <c r="AE6" s="36">
        <f t="shared" ref="AE6:AE27" si="7">$AD$28</f>
        <v>0.46590909090909088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10064</v>
      </c>
      <c r="K7" s="15">
        <f>L7+4540+5413+4776+3810+3773+2780+4786+5910+5528+3614+7707+9828+3822+6888+11032+9113</f>
        <v>103384</v>
      </c>
      <c r="L7" s="15">
        <f>2818*2+1108+1660*2</f>
        <v>10064</v>
      </c>
      <c r="M7" s="15">
        <f t="shared" si="0"/>
        <v>10064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>
        <v>3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si="6"/>
        <v>0.875</v>
      </c>
      <c r="AE7" s="36">
        <f t="shared" si="7"/>
        <v>0.46590909090909088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100000</v>
      </c>
      <c r="J8" s="14">
        <v>5184</v>
      </c>
      <c r="K8" s="15">
        <f>L8+1708</f>
        <v>6892</v>
      </c>
      <c r="L8" s="15">
        <f>2592*2</f>
        <v>5184</v>
      </c>
      <c r="M8" s="15">
        <f t="shared" si="0"/>
        <v>5184</v>
      </c>
      <c r="N8" s="15">
        <v>0</v>
      </c>
      <c r="O8" s="58">
        <f t="shared" si="1"/>
        <v>0</v>
      </c>
      <c r="P8" s="39">
        <f t="shared" si="2"/>
        <v>13</v>
      </c>
      <c r="Q8" s="40">
        <f t="shared" si="3"/>
        <v>11</v>
      </c>
      <c r="R8" s="7"/>
      <c r="S8" s="6">
        <v>11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0.54166666666666663</v>
      </c>
      <c r="AD8" s="10">
        <f t="shared" si="6"/>
        <v>0.54166666666666663</v>
      </c>
      <c r="AE8" s="36">
        <f t="shared" si="7"/>
        <v>0.46590909090909088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197</v>
      </c>
      <c r="D9" s="52"/>
      <c r="E9" s="53" t="s">
        <v>193</v>
      </c>
      <c r="F9" s="30" t="s">
        <v>212</v>
      </c>
      <c r="G9" s="12">
        <v>2</v>
      </c>
      <c r="H9" s="13">
        <v>24</v>
      </c>
      <c r="I9" s="7">
        <v>100000</v>
      </c>
      <c r="J9" s="14">
        <v>12528</v>
      </c>
      <c r="K9" s="15">
        <f>L9+11914</f>
        <v>24442</v>
      </c>
      <c r="L9" s="15">
        <f>3101*2+3163*2</f>
        <v>12528</v>
      </c>
      <c r="M9" s="15">
        <f t="shared" si="0"/>
        <v>12528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0.46590909090909088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100000</v>
      </c>
      <c r="J10" s="14">
        <v>12840</v>
      </c>
      <c r="K10" s="15">
        <f>L10+11830</f>
        <v>24670</v>
      </c>
      <c r="L10" s="15">
        <f>3192*2+3228*2</f>
        <v>12840</v>
      </c>
      <c r="M10" s="15">
        <f t="shared" si="0"/>
        <v>12840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0.46590909090909088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202</v>
      </c>
      <c r="E11" s="53" t="s">
        <v>195</v>
      </c>
      <c r="F11" s="30" t="s">
        <v>126</v>
      </c>
      <c r="G11" s="33">
        <v>2</v>
      </c>
      <c r="H11" s="35">
        <v>24</v>
      </c>
      <c r="I11" s="7">
        <v>3000</v>
      </c>
      <c r="J11" s="14">
        <v>11888</v>
      </c>
      <c r="K11" s="15">
        <f>L11+7296</f>
        <v>19184</v>
      </c>
      <c r="L11" s="15">
        <f>2949*2+2995*2</f>
        <v>11888</v>
      </c>
      <c r="M11" s="15">
        <f t="shared" si="0"/>
        <v>11888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0.46590909090909088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218</v>
      </c>
      <c r="F12" s="30" t="s">
        <v>126</v>
      </c>
      <c r="G12" s="12">
        <v>4</v>
      </c>
      <c r="H12" s="13">
        <v>22</v>
      </c>
      <c r="I12" s="31">
        <v>50000</v>
      </c>
      <c r="J12" s="5">
        <v>20996</v>
      </c>
      <c r="K12" s="15">
        <f>L12</f>
        <v>20996</v>
      </c>
      <c r="L12" s="15">
        <f>2517*4+2732*4</f>
        <v>20996</v>
      </c>
      <c r="M12" s="15">
        <f t="shared" si="0"/>
        <v>20996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0.46590909090909088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202</v>
      </c>
      <c r="E13" s="53" t="s">
        <v>237</v>
      </c>
      <c r="F13" s="30" t="s">
        <v>126</v>
      </c>
      <c r="G13" s="33">
        <v>4</v>
      </c>
      <c r="H13" s="35">
        <v>22</v>
      </c>
      <c r="I13" s="7">
        <v>150000</v>
      </c>
      <c r="J13" s="14">
        <v>16648</v>
      </c>
      <c r="K13" s="15">
        <f>L13</f>
        <v>16648</v>
      </c>
      <c r="L13" s="15">
        <f>928*4+3234*4</f>
        <v>16648</v>
      </c>
      <c r="M13" s="15">
        <f t="shared" si="0"/>
        <v>16648</v>
      </c>
      <c r="N13" s="15">
        <v>0</v>
      </c>
      <c r="O13" s="58">
        <f t="shared" si="1"/>
        <v>0</v>
      </c>
      <c r="P13" s="39">
        <f t="shared" si="2"/>
        <v>19</v>
      </c>
      <c r="Q13" s="40">
        <f t="shared" si="3"/>
        <v>5</v>
      </c>
      <c r="R13" s="7"/>
      <c r="S13" s="6">
        <v>5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0.79166666666666663</v>
      </c>
      <c r="AD13" s="10">
        <f t="shared" si="6"/>
        <v>0.79166666666666663</v>
      </c>
      <c r="AE13" s="36">
        <f t="shared" si="7"/>
        <v>0.46590909090909088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222</v>
      </c>
      <c r="F14" s="30" t="s">
        <v>149</v>
      </c>
      <c r="G14" s="33">
        <v>1</v>
      </c>
      <c r="H14" s="35">
        <v>50</v>
      </c>
      <c r="I14" s="7">
        <v>200</v>
      </c>
      <c r="J14" s="5">
        <v>750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0.46590909090909088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0.46590909090909088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134</v>
      </c>
      <c r="D16" s="52" t="s">
        <v>173</v>
      </c>
      <c r="E16" s="53" t="s">
        <v>174</v>
      </c>
      <c r="F16" s="30" t="s">
        <v>135</v>
      </c>
      <c r="G16" s="12">
        <v>1</v>
      </c>
      <c r="H16" s="13">
        <v>24</v>
      </c>
      <c r="I16" s="7">
        <v>1100</v>
      </c>
      <c r="J16" s="14">
        <v>1142</v>
      </c>
      <c r="K16" s="15">
        <f>L16+1142</f>
        <v>1142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0.46590909090909088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28200</v>
      </c>
      <c r="K17" s="15">
        <f>L17+26370+39325+19755+18405+40885+18620+38310+41130+40940</f>
        <v>311940</v>
      </c>
      <c r="L17" s="15">
        <f>4176*5+1464*5</f>
        <v>28200</v>
      </c>
      <c r="M17" s="15">
        <f t="shared" si="0"/>
        <v>28200</v>
      </c>
      <c r="N17" s="15">
        <v>0</v>
      </c>
      <c r="O17" s="58">
        <f t="shared" si="1"/>
        <v>0</v>
      </c>
      <c r="P17" s="39">
        <f t="shared" si="2"/>
        <v>18</v>
      </c>
      <c r="Q17" s="40">
        <f t="shared" si="3"/>
        <v>6</v>
      </c>
      <c r="R17" s="7"/>
      <c r="S17" s="6"/>
      <c r="T17" s="16"/>
      <c r="U17" s="16"/>
      <c r="V17" s="17"/>
      <c r="W17" s="5">
        <v>6</v>
      </c>
      <c r="X17" s="16"/>
      <c r="Y17" s="16"/>
      <c r="Z17" s="16"/>
      <c r="AA17" s="18"/>
      <c r="AB17" s="8">
        <f t="shared" si="4"/>
        <v>1</v>
      </c>
      <c r="AC17" s="9">
        <f t="shared" si="5"/>
        <v>0.75</v>
      </c>
      <c r="AD17" s="10">
        <f t="shared" si="6"/>
        <v>0.75</v>
      </c>
      <c r="AE17" s="36">
        <f t="shared" si="7"/>
        <v>0.46590909090909088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175</v>
      </c>
      <c r="F18" s="30" t="s">
        <v>159</v>
      </c>
      <c r="G18" s="33">
        <v>1</v>
      </c>
      <c r="H18" s="35">
        <v>24</v>
      </c>
      <c r="I18" s="7">
        <v>1000</v>
      </c>
      <c r="J18" s="14">
        <v>1509</v>
      </c>
      <c r="K18" s="15">
        <f>L18+1509</f>
        <v>1509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0.46590909090909088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196</v>
      </c>
      <c r="F19" s="30" t="s">
        <v>127</v>
      </c>
      <c r="G19" s="33">
        <v>1</v>
      </c>
      <c r="H19" s="35">
        <v>24</v>
      </c>
      <c r="I19" s="7">
        <v>20000</v>
      </c>
      <c r="J19" s="14">
        <v>4771</v>
      </c>
      <c r="K19" s="15">
        <f>L19+5252</f>
        <v>10023</v>
      </c>
      <c r="L19" s="15">
        <f>1977+2794</f>
        <v>4771</v>
      </c>
      <c r="M19" s="15">
        <f t="shared" si="0"/>
        <v>4771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 t="shared" si="7"/>
        <v>0.46590909090909088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133</v>
      </c>
      <c r="E20" s="53" t="s">
        <v>221</v>
      </c>
      <c r="F20" s="30" t="s">
        <v>127</v>
      </c>
      <c r="G20" s="12">
        <v>1</v>
      </c>
      <c r="H20" s="13">
        <v>24</v>
      </c>
      <c r="I20" s="7">
        <v>150000</v>
      </c>
      <c r="J20" s="14">
        <v>20020</v>
      </c>
      <c r="K20" s="15">
        <f>L20</f>
        <v>20020</v>
      </c>
      <c r="L20" s="15">
        <f>2281*4+2724*4</f>
        <v>20020</v>
      </c>
      <c r="M20" s="15">
        <f t="shared" si="0"/>
        <v>20020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>
        <v>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 t="shared" si="6"/>
        <v>0.95833333333333337</v>
      </c>
      <c r="AE20" s="36">
        <f t="shared" si="7"/>
        <v>0.46590909090909088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33064</v>
      </c>
      <c r="K21" s="15">
        <f>L21+50740+61508+62116+62068+58848+54656+61696+61724</f>
        <v>506420</v>
      </c>
      <c r="L21" s="15">
        <f>7753*4+513*4</f>
        <v>33064</v>
      </c>
      <c r="M21" s="15">
        <f t="shared" si="0"/>
        <v>33064</v>
      </c>
      <c r="N21" s="15">
        <v>0</v>
      </c>
      <c r="O21" s="58">
        <f t="shared" si="1"/>
        <v>0</v>
      </c>
      <c r="P21" s="39">
        <f t="shared" si="2"/>
        <v>15</v>
      </c>
      <c r="Q21" s="40">
        <f t="shared" si="3"/>
        <v>9</v>
      </c>
      <c r="R21" s="7"/>
      <c r="S21" s="6">
        <v>9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0.625</v>
      </c>
      <c r="AD21" s="10">
        <f t="shared" si="6"/>
        <v>0.625</v>
      </c>
      <c r="AE21" s="36">
        <f t="shared" si="7"/>
        <v>0.46590909090909088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0.46590909090909088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0.46590909090909088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0.46590909090909088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0.46590909090909088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0.46590909090909088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151</v>
      </c>
      <c r="F27" s="12" t="s">
        <v>152</v>
      </c>
      <c r="G27" s="12">
        <v>32</v>
      </c>
      <c r="H27" s="35">
        <v>20</v>
      </c>
      <c r="I27" s="7">
        <v>1300000</v>
      </c>
      <c r="J27" s="14">
        <v>199470</v>
      </c>
      <c r="K27" s="15">
        <f>L27+356070+486150+492600+465600+199470</f>
        <v>1999890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15</v>
      </c>
      <c r="R27" s="7"/>
      <c r="S27" s="6"/>
      <c r="T27" s="16"/>
      <c r="U27" s="16"/>
      <c r="V27" s="120"/>
      <c r="W27" s="5">
        <v>15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0.46590909090909088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4035300</v>
      </c>
      <c r="J28" s="19">
        <f t="shared" si="9"/>
        <v>434326</v>
      </c>
      <c r="K28" s="20">
        <f t="shared" si="9"/>
        <v>3821010</v>
      </c>
      <c r="L28" s="21">
        <f t="shared" si="9"/>
        <v>180323</v>
      </c>
      <c r="M28" s="20">
        <f t="shared" si="9"/>
        <v>180323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246</v>
      </c>
      <c r="Q28" s="43">
        <f t="shared" si="10"/>
        <v>273</v>
      </c>
      <c r="R28" s="23">
        <f t="shared" si="10"/>
        <v>0</v>
      </c>
      <c r="S28" s="24">
        <f t="shared" si="10"/>
        <v>57</v>
      </c>
      <c r="T28" s="24">
        <f t="shared" si="10"/>
        <v>0</v>
      </c>
      <c r="U28" s="24">
        <f t="shared" si="10"/>
        <v>0</v>
      </c>
      <c r="V28" s="25">
        <f t="shared" si="10"/>
        <v>0</v>
      </c>
      <c r="W28" s="26">
        <f t="shared" si="10"/>
        <v>168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48</v>
      </c>
      <c r="AB28" s="28">
        <f>AVERAGE(AB6:AB27)</f>
        <v>0.6</v>
      </c>
      <c r="AC28" s="4">
        <f>AVERAGE(AC6:AC27)</f>
        <v>0.46590909090909088</v>
      </c>
      <c r="AD28" s="4">
        <f>AVERAGE(AD6:AD27)</f>
        <v>0.46590909090909088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238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244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158" t="s">
        <v>46</v>
      </c>
      <c r="D57" s="158" t="s">
        <v>47</v>
      </c>
      <c r="E57" s="158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158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134</v>
      </c>
      <c r="B58" s="507"/>
      <c r="C58" s="154" t="s">
        <v>156</v>
      </c>
      <c r="D58" s="154" t="s">
        <v>137</v>
      </c>
      <c r="E58" s="154" t="s">
        <v>160</v>
      </c>
      <c r="F58" s="504" t="s">
        <v>239</v>
      </c>
      <c r="G58" s="505"/>
      <c r="H58" s="505"/>
      <c r="I58" s="505"/>
      <c r="J58" s="505"/>
      <c r="K58" s="505"/>
      <c r="L58" s="505"/>
      <c r="M58" s="506"/>
      <c r="N58" s="157" t="s">
        <v>112</v>
      </c>
      <c r="O58" s="151" t="s">
        <v>223</v>
      </c>
      <c r="P58" s="518" t="s">
        <v>115</v>
      </c>
      <c r="Q58" s="519"/>
      <c r="R58" s="518" t="s">
        <v>222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197</v>
      </c>
      <c r="B59" s="507"/>
      <c r="C59" s="154" t="s">
        <v>198</v>
      </c>
      <c r="D59" s="154"/>
      <c r="E59" s="154" t="s">
        <v>192</v>
      </c>
      <c r="F59" s="504" t="s">
        <v>217</v>
      </c>
      <c r="G59" s="505"/>
      <c r="H59" s="505"/>
      <c r="I59" s="505"/>
      <c r="J59" s="505"/>
      <c r="K59" s="505"/>
      <c r="L59" s="505"/>
      <c r="M59" s="506"/>
      <c r="N59" s="157" t="s">
        <v>112</v>
      </c>
      <c r="O59" s="151" t="s">
        <v>190</v>
      </c>
      <c r="P59" s="518" t="s">
        <v>133</v>
      </c>
      <c r="Q59" s="519"/>
      <c r="R59" s="518" t="s">
        <v>196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154" t="s">
        <v>219</v>
      </c>
      <c r="D60" s="154" t="s">
        <v>115</v>
      </c>
      <c r="E60" s="154" t="s">
        <v>218</v>
      </c>
      <c r="F60" s="504" t="s">
        <v>123</v>
      </c>
      <c r="G60" s="505"/>
      <c r="H60" s="505"/>
      <c r="I60" s="505"/>
      <c r="J60" s="505"/>
      <c r="K60" s="505"/>
      <c r="L60" s="505"/>
      <c r="M60" s="506"/>
      <c r="N60" s="157"/>
      <c r="O60" s="151"/>
      <c r="P60" s="518"/>
      <c r="Q60" s="519"/>
      <c r="R60" s="518"/>
      <c r="S60" s="520"/>
      <c r="T60" s="520"/>
      <c r="U60" s="519"/>
      <c r="V60" s="504"/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112</v>
      </c>
      <c r="B61" s="507"/>
      <c r="C61" s="154" t="s">
        <v>240</v>
      </c>
      <c r="D61" s="154" t="s">
        <v>202</v>
      </c>
      <c r="E61" s="154" t="s">
        <v>237</v>
      </c>
      <c r="F61" s="504" t="s">
        <v>123</v>
      </c>
      <c r="G61" s="505"/>
      <c r="H61" s="505"/>
      <c r="I61" s="505"/>
      <c r="J61" s="505"/>
      <c r="K61" s="505"/>
      <c r="L61" s="505"/>
      <c r="M61" s="506"/>
      <c r="N61" s="157"/>
      <c r="O61" s="151"/>
      <c r="P61" s="518"/>
      <c r="Q61" s="519"/>
      <c r="R61" s="518"/>
      <c r="S61" s="520"/>
      <c r="T61" s="520"/>
      <c r="U61" s="519"/>
      <c r="V61" s="504"/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112</v>
      </c>
      <c r="B62" s="507"/>
      <c r="C62" s="154" t="s">
        <v>220</v>
      </c>
      <c r="D62" s="154" t="s">
        <v>133</v>
      </c>
      <c r="E62" s="154" t="s">
        <v>221</v>
      </c>
      <c r="F62" s="504" t="s">
        <v>241</v>
      </c>
      <c r="G62" s="505"/>
      <c r="H62" s="505"/>
      <c r="I62" s="505"/>
      <c r="J62" s="505"/>
      <c r="K62" s="505"/>
      <c r="L62" s="505"/>
      <c r="M62" s="506"/>
      <c r="N62" s="157"/>
      <c r="O62" s="151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 t="s">
        <v>112</v>
      </c>
      <c r="B63" s="507"/>
      <c r="C63" s="154" t="s">
        <v>190</v>
      </c>
      <c r="D63" s="154" t="s">
        <v>133</v>
      </c>
      <c r="E63" s="154" t="s">
        <v>196</v>
      </c>
      <c r="F63" s="504" t="s">
        <v>242</v>
      </c>
      <c r="G63" s="505"/>
      <c r="H63" s="505"/>
      <c r="I63" s="505"/>
      <c r="J63" s="505"/>
      <c r="K63" s="505"/>
      <c r="L63" s="505"/>
      <c r="M63" s="506"/>
      <c r="N63" s="157"/>
      <c r="O63" s="151"/>
      <c r="P63" s="518"/>
      <c r="Q63" s="519"/>
      <c r="R63" s="518"/>
      <c r="S63" s="520"/>
      <c r="T63" s="520"/>
      <c r="U63" s="519"/>
      <c r="V63" s="491"/>
      <c r="W63" s="491"/>
      <c r="X63" s="491"/>
      <c r="Y63" s="491"/>
      <c r="Z63" s="491"/>
      <c r="AA63" s="491"/>
      <c r="AB63" s="491"/>
      <c r="AC63" s="491"/>
      <c r="AD63" s="508"/>
    </row>
    <row r="64" spans="1:32" ht="27" customHeight="1">
      <c r="A64" s="517" t="s">
        <v>112</v>
      </c>
      <c r="B64" s="507"/>
      <c r="C64" s="154" t="s">
        <v>223</v>
      </c>
      <c r="D64" s="154" t="s">
        <v>115</v>
      </c>
      <c r="E64" s="154" t="s">
        <v>222</v>
      </c>
      <c r="F64" s="504" t="s">
        <v>243</v>
      </c>
      <c r="G64" s="505"/>
      <c r="H64" s="505"/>
      <c r="I64" s="505"/>
      <c r="J64" s="505"/>
      <c r="K64" s="505"/>
      <c r="L64" s="505"/>
      <c r="M64" s="506"/>
      <c r="N64" s="157"/>
      <c r="O64" s="151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153"/>
      <c r="D65" s="153"/>
      <c r="E65" s="154"/>
      <c r="F65" s="504"/>
      <c r="G65" s="505"/>
      <c r="H65" s="505"/>
      <c r="I65" s="505"/>
      <c r="J65" s="505"/>
      <c r="K65" s="505"/>
      <c r="L65" s="505"/>
      <c r="M65" s="506"/>
      <c r="N65" s="157"/>
      <c r="O65" s="151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153"/>
      <c r="D66" s="153"/>
      <c r="E66" s="154"/>
      <c r="F66" s="504"/>
      <c r="G66" s="505"/>
      <c r="H66" s="505"/>
      <c r="I66" s="505"/>
      <c r="J66" s="505"/>
      <c r="K66" s="505"/>
      <c r="L66" s="505"/>
      <c r="M66" s="506"/>
      <c r="N66" s="157"/>
      <c r="O66" s="151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155"/>
      <c r="D67" s="156"/>
      <c r="E67" s="155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245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152" t="s">
        <v>2</v>
      </c>
      <c r="D69" s="152" t="s">
        <v>37</v>
      </c>
      <c r="E69" s="152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152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150</v>
      </c>
      <c r="D70" s="147"/>
      <c r="E70" s="150"/>
      <c r="F70" s="488" t="s">
        <v>246</v>
      </c>
      <c r="G70" s="478"/>
      <c r="H70" s="478"/>
      <c r="I70" s="478"/>
      <c r="J70" s="478"/>
      <c r="K70" s="478" t="s">
        <v>152</v>
      </c>
      <c r="L70" s="478"/>
      <c r="M70" s="51" t="s">
        <v>155</v>
      </c>
      <c r="N70" s="489" t="s">
        <v>247</v>
      </c>
      <c r="O70" s="489"/>
      <c r="P70" s="490">
        <v>2000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134</v>
      </c>
      <c r="D71" s="147"/>
      <c r="E71" s="150" t="s">
        <v>115</v>
      </c>
      <c r="F71" s="492" t="s">
        <v>248</v>
      </c>
      <c r="G71" s="493"/>
      <c r="H71" s="493"/>
      <c r="I71" s="493"/>
      <c r="J71" s="494"/>
      <c r="K71" s="478" t="s">
        <v>135</v>
      </c>
      <c r="L71" s="478"/>
      <c r="M71" s="51" t="s">
        <v>155</v>
      </c>
      <c r="N71" s="489" t="s">
        <v>148</v>
      </c>
      <c r="O71" s="489"/>
      <c r="P71" s="490">
        <v>50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 t="s">
        <v>112</v>
      </c>
      <c r="D72" s="147"/>
      <c r="E72" s="150" t="s">
        <v>115</v>
      </c>
      <c r="F72" s="492" t="s">
        <v>249</v>
      </c>
      <c r="G72" s="493"/>
      <c r="H72" s="493"/>
      <c r="I72" s="493"/>
      <c r="J72" s="494"/>
      <c r="K72" s="478" t="s">
        <v>126</v>
      </c>
      <c r="L72" s="478"/>
      <c r="M72" s="51" t="s">
        <v>155</v>
      </c>
      <c r="N72" s="489" t="s">
        <v>148</v>
      </c>
      <c r="O72" s="489"/>
      <c r="P72" s="490">
        <v>50</v>
      </c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 t="s">
        <v>112</v>
      </c>
      <c r="D73" s="147"/>
      <c r="E73" s="150" t="s">
        <v>115</v>
      </c>
      <c r="F73" s="492" t="s">
        <v>250</v>
      </c>
      <c r="G73" s="493"/>
      <c r="H73" s="493"/>
      <c r="I73" s="493"/>
      <c r="J73" s="494"/>
      <c r="K73" s="478" t="s">
        <v>126</v>
      </c>
      <c r="L73" s="478"/>
      <c r="M73" s="51" t="s">
        <v>155</v>
      </c>
      <c r="N73" s="489" t="s">
        <v>148</v>
      </c>
      <c r="O73" s="489"/>
      <c r="P73" s="490">
        <v>100</v>
      </c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147"/>
      <c r="E74" s="150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147"/>
      <c r="E75" s="150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147"/>
      <c r="E76" s="150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147"/>
      <c r="E77" s="150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147"/>
      <c r="E78" s="150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147"/>
      <c r="E79" s="150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234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149" t="s">
        <v>2</v>
      </c>
      <c r="D81" s="149" t="s">
        <v>37</v>
      </c>
      <c r="E81" s="149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148"/>
      <c r="D82" s="148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147"/>
      <c r="D83" s="147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147"/>
      <c r="D84" s="147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147"/>
      <c r="D85" s="147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147"/>
      <c r="D86" s="147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147"/>
      <c r="D87" s="147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147"/>
      <c r="D88" s="147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235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>
        <v>9</v>
      </c>
      <c r="D91" s="454"/>
      <c r="E91" s="454" t="s">
        <v>124</v>
      </c>
      <c r="F91" s="454"/>
      <c r="G91" s="454"/>
      <c r="H91" s="454"/>
      <c r="I91" s="454"/>
      <c r="J91" s="454"/>
      <c r="K91" s="454" t="s">
        <v>129</v>
      </c>
      <c r="L91" s="454"/>
      <c r="M91" s="454"/>
      <c r="N91" s="454"/>
      <c r="O91" s="454"/>
      <c r="P91" s="454"/>
      <c r="Q91" s="454"/>
      <c r="R91" s="454"/>
      <c r="S91" s="454"/>
      <c r="T91" s="454" t="s">
        <v>125</v>
      </c>
      <c r="U91" s="454"/>
      <c r="V91" s="455">
        <v>1900000</v>
      </c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23B5-557E-4A75-9250-6901EAC80A74}">
  <sheetPr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251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160" t="s">
        <v>17</v>
      </c>
      <c r="L5" s="160" t="s">
        <v>18</v>
      </c>
      <c r="M5" s="160" t="s">
        <v>19</v>
      </c>
      <c r="N5" s="16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209</v>
      </c>
      <c r="E6" s="53" t="s">
        <v>210</v>
      </c>
      <c r="F6" s="30" t="s">
        <v>211</v>
      </c>
      <c r="G6" s="12">
        <v>1</v>
      </c>
      <c r="H6" s="13">
        <v>24</v>
      </c>
      <c r="I6" s="31">
        <v>8000</v>
      </c>
      <c r="J6" s="14">
        <v>4120</v>
      </c>
      <c r="K6" s="15">
        <f>L6+4354+4120</f>
        <v>8474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7" si="4">IF(J6=0,"0",(L6/J6))</f>
        <v>0</v>
      </c>
      <c r="AC6" s="9">
        <f t="shared" ref="AC6:AC27" si="5">IF(P6=0,"0",(P6/24))</f>
        <v>0</v>
      </c>
      <c r="AD6" s="10">
        <f t="shared" ref="AD6:AD27" si="6">AC6*AB6*(1-O6)</f>
        <v>0</v>
      </c>
      <c r="AE6" s="36">
        <f t="shared" ref="AE6:AE27" si="7">$AD$28</f>
        <v>0.4375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12756</v>
      </c>
      <c r="K7" s="15">
        <f>L7+4540+5413+4776+3810+3773+2780+4786+5910+5528+3614+7707+9828+3822+6888+11032+9113+10064</f>
        <v>116140</v>
      </c>
      <c r="L7" s="15">
        <f>3209*2+3169*2</f>
        <v>12756</v>
      </c>
      <c r="M7" s="15">
        <f t="shared" si="0"/>
        <v>12756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0.4375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126000</v>
      </c>
      <c r="J8" s="14">
        <v>11810</v>
      </c>
      <c r="K8" s="15">
        <f>L8+1708+5184</f>
        <v>18702</v>
      </c>
      <c r="L8" s="15">
        <f>2932*2+2973*2</f>
        <v>11810</v>
      </c>
      <c r="M8" s="15">
        <f t="shared" si="0"/>
        <v>11810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0.4375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197</v>
      </c>
      <c r="D9" s="52"/>
      <c r="E9" s="53" t="s">
        <v>193</v>
      </c>
      <c r="F9" s="30" t="s">
        <v>212</v>
      </c>
      <c r="G9" s="12">
        <v>2</v>
      </c>
      <c r="H9" s="13">
        <v>24</v>
      </c>
      <c r="I9" s="7">
        <v>126000</v>
      </c>
      <c r="J9" s="14">
        <v>12574</v>
      </c>
      <c r="K9" s="15">
        <f>L9+11914+12528</f>
        <v>37016</v>
      </c>
      <c r="L9" s="15">
        <f>3121*2+3166*2</f>
        <v>12574</v>
      </c>
      <c r="M9" s="15">
        <f t="shared" si="0"/>
        <v>12574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0.4375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126000</v>
      </c>
      <c r="J10" s="14">
        <v>12918</v>
      </c>
      <c r="K10" s="15">
        <f>L10+11830+12840</f>
        <v>37588</v>
      </c>
      <c r="L10" s="15">
        <f>3205*2+3254*2</f>
        <v>12918</v>
      </c>
      <c r="M10" s="15">
        <f t="shared" si="0"/>
        <v>12918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0.4375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202</v>
      </c>
      <c r="E11" s="53" t="s">
        <v>195</v>
      </c>
      <c r="F11" s="30" t="s">
        <v>126</v>
      </c>
      <c r="G11" s="33">
        <v>2</v>
      </c>
      <c r="H11" s="35">
        <v>24</v>
      </c>
      <c r="I11" s="7">
        <v>3000</v>
      </c>
      <c r="J11" s="14">
        <v>11914</v>
      </c>
      <c r="K11" s="15">
        <f>L11+7296+11888</f>
        <v>31098</v>
      </c>
      <c r="L11" s="15">
        <f>2958*2+2999*2</f>
        <v>11914</v>
      </c>
      <c r="M11" s="15">
        <f t="shared" si="0"/>
        <v>11914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0.4375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218</v>
      </c>
      <c r="F12" s="30" t="s">
        <v>126</v>
      </c>
      <c r="G12" s="12">
        <v>4</v>
      </c>
      <c r="H12" s="13">
        <v>22</v>
      </c>
      <c r="I12" s="31">
        <v>50000</v>
      </c>
      <c r="J12" s="5">
        <v>22464</v>
      </c>
      <c r="K12" s="15">
        <f>L12+20996</f>
        <v>43460</v>
      </c>
      <c r="L12" s="15">
        <f>2525*4+300*4+2791*4</f>
        <v>22464</v>
      </c>
      <c r="M12" s="15">
        <f t="shared" si="0"/>
        <v>22464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0.4375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202</v>
      </c>
      <c r="E13" s="53" t="s">
        <v>237</v>
      </c>
      <c r="F13" s="30" t="s">
        <v>126</v>
      </c>
      <c r="G13" s="33">
        <v>4</v>
      </c>
      <c r="H13" s="35">
        <v>22</v>
      </c>
      <c r="I13" s="7">
        <v>150000</v>
      </c>
      <c r="J13" s="14">
        <v>26288</v>
      </c>
      <c r="K13" s="15">
        <f>L13+16648</f>
        <v>42936</v>
      </c>
      <c r="L13" s="15">
        <f>3244*4+3328*4</f>
        <v>26288</v>
      </c>
      <c r="M13" s="15">
        <f t="shared" si="0"/>
        <v>26288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0.4375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222</v>
      </c>
      <c r="F14" s="30" t="s">
        <v>149</v>
      </c>
      <c r="G14" s="33">
        <v>1</v>
      </c>
      <c r="H14" s="35">
        <v>50</v>
      </c>
      <c r="I14" s="7">
        <v>200</v>
      </c>
      <c r="J14" s="5">
        <v>130</v>
      </c>
      <c r="K14" s="15">
        <f>L14</f>
        <v>130</v>
      </c>
      <c r="L14" s="15">
        <v>130</v>
      </c>
      <c r="M14" s="15">
        <f t="shared" si="0"/>
        <v>130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>
        <v>20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6">
        <f t="shared" si="7"/>
        <v>0.4375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0.4375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134</v>
      </c>
      <c r="D16" s="52" t="s">
        <v>173</v>
      </c>
      <c r="E16" s="53" t="s">
        <v>174</v>
      </c>
      <c r="F16" s="30" t="s">
        <v>135</v>
      </c>
      <c r="G16" s="12">
        <v>1</v>
      </c>
      <c r="H16" s="13">
        <v>24</v>
      </c>
      <c r="I16" s="7">
        <v>1100</v>
      </c>
      <c r="J16" s="14">
        <v>1142</v>
      </c>
      <c r="K16" s="15">
        <f>L16+1142</f>
        <v>1142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0.4375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28200</v>
      </c>
      <c r="K17" s="15">
        <f>L17+26370+39325+19755+18405+40885+18620+38310+41130+40940+28200</f>
        <v>311940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0.4375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197</v>
      </c>
      <c r="D18" s="52"/>
      <c r="E18" s="53" t="s">
        <v>252</v>
      </c>
      <c r="F18" s="30" t="s">
        <v>212</v>
      </c>
      <c r="G18" s="33">
        <v>1</v>
      </c>
      <c r="H18" s="35">
        <v>24</v>
      </c>
      <c r="I18" s="7">
        <v>500</v>
      </c>
      <c r="J18" s="14">
        <v>1720</v>
      </c>
      <c r="K18" s="15">
        <f>L18</f>
        <v>1720</v>
      </c>
      <c r="L18" s="15">
        <v>1720</v>
      </c>
      <c r="M18" s="15">
        <f t="shared" si="0"/>
        <v>1720</v>
      </c>
      <c r="N18" s="15">
        <v>0</v>
      </c>
      <c r="O18" s="58">
        <f t="shared" si="1"/>
        <v>0</v>
      </c>
      <c r="P18" s="39">
        <f t="shared" si="2"/>
        <v>9</v>
      </c>
      <c r="Q18" s="40">
        <f t="shared" si="3"/>
        <v>15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15</v>
      </c>
      <c r="AB18" s="8">
        <f t="shared" si="4"/>
        <v>1</v>
      </c>
      <c r="AC18" s="9">
        <f t="shared" si="5"/>
        <v>0.375</v>
      </c>
      <c r="AD18" s="10">
        <f t="shared" si="6"/>
        <v>0.375</v>
      </c>
      <c r="AE18" s="36">
        <f t="shared" si="7"/>
        <v>0.4375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196</v>
      </c>
      <c r="F19" s="30" t="s">
        <v>127</v>
      </c>
      <c r="G19" s="33">
        <v>1</v>
      </c>
      <c r="H19" s="35">
        <v>24</v>
      </c>
      <c r="I19" s="7">
        <v>20000</v>
      </c>
      <c r="J19" s="14">
        <v>4224</v>
      </c>
      <c r="K19" s="15">
        <f>L19+5252+4771</f>
        <v>14247</v>
      </c>
      <c r="L19" s="15">
        <f>1414+2810</f>
        <v>4224</v>
      </c>
      <c r="M19" s="15">
        <f t="shared" si="0"/>
        <v>4224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>
        <v>5</v>
      </c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6">
        <f t="shared" si="7"/>
        <v>0.4375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133</v>
      </c>
      <c r="E20" s="53" t="s">
        <v>221</v>
      </c>
      <c r="F20" s="30" t="s">
        <v>127</v>
      </c>
      <c r="G20" s="12">
        <v>1</v>
      </c>
      <c r="H20" s="13">
        <v>24</v>
      </c>
      <c r="I20" s="7">
        <v>150000</v>
      </c>
      <c r="J20" s="14">
        <v>14558</v>
      </c>
      <c r="K20" s="15">
        <f>L20+20020</f>
        <v>34578</v>
      </c>
      <c r="L20" s="15">
        <f>1659*2+2810*4</f>
        <v>14558</v>
      </c>
      <c r="M20" s="15">
        <f t="shared" si="0"/>
        <v>14558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0.4375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28160</v>
      </c>
      <c r="K21" s="15">
        <f>L21+50740+61508+62116+62068+58848+54656+61696+61724+33064</f>
        <v>534580</v>
      </c>
      <c r="L21" s="15">
        <f>7040*4</f>
        <v>28160</v>
      </c>
      <c r="M21" s="15">
        <f t="shared" si="0"/>
        <v>28160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 t="shared" si="7"/>
        <v>0.4375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0.4375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0.4375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0.4375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0.4375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0.4375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151</v>
      </c>
      <c r="F27" s="12" t="s">
        <v>152</v>
      </c>
      <c r="G27" s="12">
        <v>32</v>
      </c>
      <c r="H27" s="35">
        <v>20</v>
      </c>
      <c r="I27" s="7">
        <v>1300000</v>
      </c>
      <c r="J27" s="14">
        <v>199470</v>
      </c>
      <c r="K27" s="15">
        <f>L27+356070+486150+492600+465600+199470</f>
        <v>1999890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15</v>
      </c>
      <c r="R27" s="7"/>
      <c r="S27" s="6"/>
      <c r="T27" s="16"/>
      <c r="U27" s="16"/>
      <c r="V27" s="120"/>
      <c r="W27" s="5">
        <v>15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0.4375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4112800</v>
      </c>
      <c r="J28" s="19">
        <f t="shared" si="9"/>
        <v>443580</v>
      </c>
      <c r="K28" s="20">
        <f t="shared" si="9"/>
        <v>3979017</v>
      </c>
      <c r="L28" s="21">
        <f t="shared" si="9"/>
        <v>159516</v>
      </c>
      <c r="M28" s="20">
        <f t="shared" si="9"/>
        <v>159516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231</v>
      </c>
      <c r="Q28" s="43">
        <f t="shared" si="10"/>
        <v>288</v>
      </c>
      <c r="R28" s="23">
        <f t="shared" si="10"/>
        <v>5</v>
      </c>
      <c r="S28" s="24">
        <f t="shared" si="10"/>
        <v>23</v>
      </c>
      <c r="T28" s="24">
        <f t="shared" si="10"/>
        <v>0</v>
      </c>
      <c r="U28" s="24">
        <f t="shared" si="10"/>
        <v>0</v>
      </c>
      <c r="V28" s="25">
        <f t="shared" si="10"/>
        <v>14</v>
      </c>
      <c r="W28" s="26">
        <f t="shared" si="10"/>
        <v>183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63</v>
      </c>
      <c r="AB28" s="28">
        <f>AVERAGE(AB6:AB27)</f>
        <v>0.6</v>
      </c>
      <c r="AC28" s="4">
        <f>AVERAGE(AC6:AC27)</f>
        <v>0.4375</v>
      </c>
      <c r="AD28" s="4">
        <f>AVERAGE(AD6:AD27)</f>
        <v>0.4375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253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244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161" t="s">
        <v>46</v>
      </c>
      <c r="D57" s="161" t="s">
        <v>47</v>
      </c>
      <c r="E57" s="161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161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163" t="s">
        <v>220</v>
      </c>
      <c r="D58" s="163" t="s">
        <v>133</v>
      </c>
      <c r="E58" s="163" t="s">
        <v>221</v>
      </c>
      <c r="F58" s="504" t="s">
        <v>254</v>
      </c>
      <c r="G58" s="505"/>
      <c r="H58" s="505"/>
      <c r="I58" s="505"/>
      <c r="J58" s="505"/>
      <c r="K58" s="505"/>
      <c r="L58" s="505"/>
      <c r="M58" s="506"/>
      <c r="N58" s="162" t="s">
        <v>112</v>
      </c>
      <c r="O58" s="169" t="s">
        <v>223</v>
      </c>
      <c r="P58" s="518" t="s">
        <v>115</v>
      </c>
      <c r="Q58" s="519"/>
      <c r="R58" s="518" t="s">
        <v>257</v>
      </c>
      <c r="S58" s="520"/>
      <c r="T58" s="520"/>
      <c r="U58" s="519"/>
      <c r="V58" s="504" t="s">
        <v>123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163" t="s">
        <v>190</v>
      </c>
      <c r="D59" s="163" t="s">
        <v>133</v>
      </c>
      <c r="E59" s="163" t="s">
        <v>196</v>
      </c>
      <c r="F59" s="504" t="s">
        <v>255</v>
      </c>
      <c r="G59" s="505"/>
      <c r="H59" s="505"/>
      <c r="I59" s="505"/>
      <c r="J59" s="505"/>
      <c r="K59" s="505"/>
      <c r="L59" s="505"/>
      <c r="M59" s="506"/>
      <c r="N59" s="162" t="s">
        <v>112</v>
      </c>
      <c r="O59" s="169" t="s">
        <v>220</v>
      </c>
      <c r="P59" s="518" t="s">
        <v>133</v>
      </c>
      <c r="Q59" s="519"/>
      <c r="R59" s="518" t="s">
        <v>221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163" t="s">
        <v>223</v>
      </c>
      <c r="D60" s="163" t="s">
        <v>115</v>
      </c>
      <c r="E60" s="163" t="s">
        <v>222</v>
      </c>
      <c r="F60" s="504" t="s">
        <v>256</v>
      </c>
      <c r="G60" s="505"/>
      <c r="H60" s="505"/>
      <c r="I60" s="505"/>
      <c r="J60" s="505"/>
      <c r="K60" s="505"/>
      <c r="L60" s="505"/>
      <c r="M60" s="506"/>
      <c r="N60" s="162"/>
      <c r="O60" s="169"/>
      <c r="P60" s="518"/>
      <c r="Q60" s="519"/>
      <c r="R60" s="518"/>
      <c r="S60" s="520"/>
      <c r="T60" s="520"/>
      <c r="U60" s="519"/>
      <c r="V60" s="504"/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197</v>
      </c>
      <c r="B61" s="507"/>
      <c r="C61" s="163" t="s">
        <v>148</v>
      </c>
      <c r="D61" s="163"/>
      <c r="E61" s="163" t="s">
        <v>252</v>
      </c>
      <c r="F61" s="504" t="s">
        <v>123</v>
      </c>
      <c r="G61" s="505"/>
      <c r="H61" s="505"/>
      <c r="I61" s="505"/>
      <c r="J61" s="505"/>
      <c r="K61" s="505"/>
      <c r="L61" s="505"/>
      <c r="M61" s="506"/>
      <c r="N61" s="162"/>
      <c r="O61" s="169"/>
      <c r="P61" s="518"/>
      <c r="Q61" s="519"/>
      <c r="R61" s="518"/>
      <c r="S61" s="520"/>
      <c r="T61" s="520"/>
      <c r="U61" s="519"/>
      <c r="V61" s="504"/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/>
      <c r="B62" s="507"/>
      <c r="C62" s="163"/>
      <c r="D62" s="163"/>
      <c r="E62" s="163"/>
      <c r="F62" s="504"/>
      <c r="G62" s="505"/>
      <c r="H62" s="505"/>
      <c r="I62" s="505"/>
      <c r="J62" s="505"/>
      <c r="K62" s="505"/>
      <c r="L62" s="505"/>
      <c r="M62" s="506"/>
      <c r="N62" s="162"/>
      <c r="O62" s="169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/>
      <c r="B63" s="507"/>
      <c r="C63" s="163"/>
      <c r="D63" s="163"/>
      <c r="E63" s="163"/>
      <c r="F63" s="504"/>
      <c r="G63" s="505"/>
      <c r="H63" s="505"/>
      <c r="I63" s="505"/>
      <c r="J63" s="505"/>
      <c r="K63" s="505"/>
      <c r="L63" s="505"/>
      <c r="M63" s="506"/>
      <c r="N63" s="162"/>
      <c r="O63" s="169"/>
      <c r="P63" s="518"/>
      <c r="Q63" s="519"/>
      <c r="R63" s="518"/>
      <c r="S63" s="520"/>
      <c r="T63" s="520"/>
      <c r="U63" s="519"/>
      <c r="V63" s="491"/>
      <c r="W63" s="491"/>
      <c r="X63" s="491"/>
      <c r="Y63" s="491"/>
      <c r="Z63" s="491"/>
      <c r="AA63" s="491"/>
      <c r="AB63" s="491"/>
      <c r="AC63" s="491"/>
      <c r="AD63" s="508"/>
    </row>
    <row r="64" spans="1:32" ht="27" customHeight="1">
      <c r="A64" s="517"/>
      <c r="B64" s="507"/>
      <c r="C64" s="163"/>
      <c r="D64" s="163"/>
      <c r="E64" s="163"/>
      <c r="F64" s="504"/>
      <c r="G64" s="505"/>
      <c r="H64" s="505"/>
      <c r="I64" s="505"/>
      <c r="J64" s="505"/>
      <c r="K64" s="505"/>
      <c r="L64" s="505"/>
      <c r="M64" s="506"/>
      <c r="N64" s="162"/>
      <c r="O64" s="169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166"/>
      <c r="D65" s="166"/>
      <c r="E65" s="163"/>
      <c r="F65" s="504"/>
      <c r="G65" s="505"/>
      <c r="H65" s="505"/>
      <c r="I65" s="505"/>
      <c r="J65" s="505"/>
      <c r="K65" s="505"/>
      <c r="L65" s="505"/>
      <c r="M65" s="506"/>
      <c r="N65" s="162"/>
      <c r="O65" s="169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166"/>
      <c r="D66" s="166"/>
      <c r="E66" s="163"/>
      <c r="F66" s="504"/>
      <c r="G66" s="505"/>
      <c r="H66" s="505"/>
      <c r="I66" s="505"/>
      <c r="J66" s="505"/>
      <c r="K66" s="505"/>
      <c r="L66" s="505"/>
      <c r="M66" s="506"/>
      <c r="N66" s="162"/>
      <c r="O66" s="169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164"/>
      <c r="D67" s="165"/>
      <c r="E67" s="164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258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167" t="s">
        <v>2</v>
      </c>
      <c r="D69" s="167" t="s">
        <v>37</v>
      </c>
      <c r="E69" s="167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167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116</v>
      </c>
      <c r="D70" s="171"/>
      <c r="E70" s="168" t="s">
        <v>229</v>
      </c>
      <c r="F70" s="488" t="s">
        <v>259</v>
      </c>
      <c r="G70" s="478"/>
      <c r="H70" s="478"/>
      <c r="I70" s="478"/>
      <c r="J70" s="478"/>
      <c r="K70" s="478" t="s">
        <v>260</v>
      </c>
      <c r="L70" s="478"/>
      <c r="M70" s="51" t="s">
        <v>155</v>
      </c>
      <c r="N70" s="489" t="s">
        <v>186</v>
      </c>
      <c r="O70" s="489"/>
      <c r="P70" s="490">
        <v>50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/>
      <c r="D71" s="171"/>
      <c r="E71" s="168"/>
      <c r="F71" s="492"/>
      <c r="G71" s="493"/>
      <c r="H71" s="493"/>
      <c r="I71" s="493"/>
      <c r="J71" s="494"/>
      <c r="K71" s="478"/>
      <c r="L71" s="478"/>
      <c r="M71" s="51"/>
      <c r="N71" s="489"/>
      <c r="O71" s="489"/>
      <c r="P71" s="490"/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/>
      <c r="D72" s="171"/>
      <c r="E72" s="168"/>
      <c r="F72" s="492"/>
      <c r="G72" s="493"/>
      <c r="H72" s="493"/>
      <c r="I72" s="493"/>
      <c r="J72" s="494"/>
      <c r="K72" s="478"/>
      <c r="L72" s="478"/>
      <c r="M72" s="51"/>
      <c r="N72" s="489"/>
      <c r="O72" s="489"/>
      <c r="P72" s="490"/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171"/>
      <c r="E73" s="168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171"/>
      <c r="E74" s="168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171"/>
      <c r="E75" s="168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171"/>
      <c r="E76" s="168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171"/>
      <c r="E77" s="168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171"/>
      <c r="E78" s="168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171"/>
      <c r="E79" s="168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261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170" t="s">
        <v>2</v>
      </c>
      <c r="D81" s="170" t="s">
        <v>37</v>
      </c>
      <c r="E81" s="170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172"/>
      <c r="D82" s="172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171"/>
      <c r="D83" s="171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171"/>
      <c r="D84" s="171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171"/>
      <c r="D85" s="171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171"/>
      <c r="D86" s="171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171"/>
      <c r="D87" s="171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171"/>
      <c r="D88" s="171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262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>
        <v>9</v>
      </c>
      <c r="D91" s="454"/>
      <c r="E91" s="454" t="s">
        <v>124</v>
      </c>
      <c r="F91" s="454"/>
      <c r="G91" s="454"/>
      <c r="H91" s="454"/>
      <c r="I91" s="454"/>
      <c r="J91" s="454"/>
      <c r="K91" s="454" t="s">
        <v>129</v>
      </c>
      <c r="L91" s="454"/>
      <c r="M91" s="454"/>
      <c r="N91" s="454"/>
      <c r="O91" s="454"/>
      <c r="P91" s="454"/>
      <c r="Q91" s="454"/>
      <c r="R91" s="454"/>
      <c r="S91" s="454"/>
      <c r="T91" s="454" t="s">
        <v>125</v>
      </c>
      <c r="U91" s="454"/>
      <c r="V91" s="455">
        <v>1900000</v>
      </c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8887-4651-4701-9465-2F433D4767E8}">
  <sheetPr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263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185" t="s">
        <v>17</v>
      </c>
      <c r="L5" s="185" t="s">
        <v>18</v>
      </c>
      <c r="M5" s="185" t="s">
        <v>19</v>
      </c>
      <c r="N5" s="18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209</v>
      </c>
      <c r="E6" s="53" t="s">
        <v>210</v>
      </c>
      <c r="F6" s="30" t="s">
        <v>211</v>
      </c>
      <c r="G6" s="12">
        <v>1</v>
      </c>
      <c r="H6" s="13">
        <v>24</v>
      </c>
      <c r="I6" s="31">
        <v>8000</v>
      </c>
      <c r="J6" s="14">
        <v>4120</v>
      </c>
      <c r="K6" s="15">
        <f>L6+4354+4120</f>
        <v>8474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7" si="4">IF(J6=0,"0",(L6/J6))</f>
        <v>0</v>
      </c>
      <c r="AC6" s="9">
        <f t="shared" ref="AC6:AC27" si="5">IF(P6=0,"0",(P6/24))</f>
        <v>0</v>
      </c>
      <c r="AD6" s="10">
        <f t="shared" ref="AD6:AD27" si="6">AC6*AB6*(1-O6)</f>
        <v>0</v>
      </c>
      <c r="AE6" s="36">
        <f t="shared" ref="AE6:AE27" si="7">$AD$28</f>
        <v>0.32575757575757575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9446</v>
      </c>
      <c r="K7" s="15">
        <f>L7+4540+5413+4776+3810+3773+2780+4786+5910+5528+3614+7707+9828+3822+6888+11032+9113+10064+12756</f>
        <v>125586</v>
      </c>
      <c r="L7" s="15">
        <f>3226+3110*2</f>
        <v>9446</v>
      </c>
      <c r="M7" s="15">
        <f t="shared" si="0"/>
        <v>9446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0.32575757575757575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126000</v>
      </c>
      <c r="J8" s="14">
        <v>11756</v>
      </c>
      <c r="K8" s="15">
        <f>L8+1708+5184+11810</f>
        <v>30458</v>
      </c>
      <c r="L8" s="15">
        <f>3008*2+2870*2</f>
        <v>11756</v>
      </c>
      <c r="M8" s="15">
        <f t="shared" si="0"/>
        <v>11756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0.32575757575757575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197</v>
      </c>
      <c r="D9" s="52"/>
      <c r="E9" s="53" t="s">
        <v>193</v>
      </c>
      <c r="F9" s="30" t="s">
        <v>212</v>
      </c>
      <c r="G9" s="12">
        <v>2</v>
      </c>
      <c r="H9" s="13">
        <v>24</v>
      </c>
      <c r="I9" s="7">
        <v>126000</v>
      </c>
      <c r="J9" s="14">
        <v>9262</v>
      </c>
      <c r="K9" s="15">
        <f>L9+11914+12528+12574</f>
        <v>46278</v>
      </c>
      <c r="L9" s="15">
        <f>3142+3060*2</f>
        <v>9262</v>
      </c>
      <c r="M9" s="15">
        <f t="shared" si="0"/>
        <v>9262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0.32575757575757575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126000</v>
      </c>
      <c r="J10" s="14">
        <v>12834</v>
      </c>
      <c r="K10" s="15">
        <f>L10+11830+12840+12918</f>
        <v>50422</v>
      </c>
      <c r="L10" s="15">
        <f>3299*2+3118*2</f>
        <v>12834</v>
      </c>
      <c r="M10" s="15">
        <f t="shared" si="0"/>
        <v>12834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0.32575757575757575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202</v>
      </c>
      <c r="E11" s="53" t="s">
        <v>195</v>
      </c>
      <c r="F11" s="30" t="s">
        <v>126</v>
      </c>
      <c r="G11" s="33">
        <v>2</v>
      </c>
      <c r="H11" s="35">
        <v>24</v>
      </c>
      <c r="I11" s="7">
        <v>3000</v>
      </c>
      <c r="J11" s="14">
        <v>11884</v>
      </c>
      <c r="K11" s="15">
        <f>L11+7296+11888+11914</f>
        <v>42982</v>
      </c>
      <c r="L11" s="15">
        <f>3048*2+2894*2</f>
        <v>11884</v>
      </c>
      <c r="M11" s="15">
        <f t="shared" si="0"/>
        <v>11884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0.32575757575757575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218</v>
      </c>
      <c r="F12" s="30" t="s">
        <v>126</v>
      </c>
      <c r="G12" s="12">
        <v>4</v>
      </c>
      <c r="H12" s="13">
        <v>22</v>
      </c>
      <c r="I12" s="31">
        <v>50000</v>
      </c>
      <c r="J12" s="5">
        <v>22464</v>
      </c>
      <c r="K12" s="15">
        <f>L12+20996+22464</f>
        <v>43460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>
        <v>24</v>
      </c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0.32575757575757575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202</v>
      </c>
      <c r="E13" s="53" t="s">
        <v>237</v>
      </c>
      <c r="F13" s="30" t="s">
        <v>126</v>
      </c>
      <c r="G13" s="33">
        <v>4</v>
      </c>
      <c r="H13" s="35">
        <v>22</v>
      </c>
      <c r="I13" s="7">
        <v>150000</v>
      </c>
      <c r="J13" s="14">
        <v>26040</v>
      </c>
      <c r="K13" s="15">
        <f>L13+16648+26288</f>
        <v>68976</v>
      </c>
      <c r="L13" s="15">
        <f>3375*4+3135*4</f>
        <v>26040</v>
      </c>
      <c r="M13" s="15">
        <f t="shared" si="0"/>
        <v>26040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0.32575757575757575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257</v>
      </c>
      <c r="F14" s="30" t="s">
        <v>230</v>
      </c>
      <c r="G14" s="33">
        <v>1</v>
      </c>
      <c r="H14" s="35">
        <v>50</v>
      </c>
      <c r="I14" s="7">
        <v>200</v>
      </c>
      <c r="J14" s="5">
        <v>180</v>
      </c>
      <c r="K14" s="15">
        <f>L14</f>
        <v>180</v>
      </c>
      <c r="L14" s="15">
        <v>180</v>
      </c>
      <c r="M14" s="15">
        <f t="shared" si="0"/>
        <v>180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>
        <v>20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6">
        <f t="shared" si="7"/>
        <v>0.32575757575757575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0.32575757575757575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134</v>
      </c>
      <c r="D16" s="52" t="s">
        <v>173</v>
      </c>
      <c r="E16" s="53" t="s">
        <v>174</v>
      </c>
      <c r="F16" s="30" t="s">
        <v>135</v>
      </c>
      <c r="G16" s="12">
        <v>1</v>
      </c>
      <c r="H16" s="13">
        <v>24</v>
      </c>
      <c r="I16" s="7">
        <v>1100</v>
      </c>
      <c r="J16" s="14">
        <v>1142</v>
      </c>
      <c r="K16" s="15">
        <f>L16+1142</f>
        <v>1142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0.32575757575757575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28200</v>
      </c>
      <c r="K17" s="15">
        <f>L17+26370+39325+19755+18405+40885+18620+38310+41130+40940+28200</f>
        <v>311940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0.32575757575757575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197</v>
      </c>
      <c r="D18" s="52"/>
      <c r="E18" s="53" t="s">
        <v>252</v>
      </c>
      <c r="F18" s="30" t="s">
        <v>212</v>
      </c>
      <c r="G18" s="33">
        <v>1</v>
      </c>
      <c r="H18" s="35">
        <v>24</v>
      </c>
      <c r="I18" s="7">
        <v>500</v>
      </c>
      <c r="J18" s="14">
        <v>1720</v>
      </c>
      <c r="K18" s="15">
        <f>L18+1720</f>
        <v>1720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0.32575757575757575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196</v>
      </c>
      <c r="F19" s="30" t="s">
        <v>127</v>
      </c>
      <c r="G19" s="33">
        <v>1</v>
      </c>
      <c r="H19" s="35">
        <v>24</v>
      </c>
      <c r="I19" s="7">
        <v>20000</v>
      </c>
      <c r="J19" s="14">
        <v>1170</v>
      </c>
      <c r="K19" s="15">
        <f>L19+5252+4771+4224</f>
        <v>15417</v>
      </c>
      <c r="L19" s="15">
        <v>1170</v>
      </c>
      <c r="M19" s="15">
        <f t="shared" si="0"/>
        <v>1170</v>
      </c>
      <c r="N19" s="15">
        <v>0</v>
      </c>
      <c r="O19" s="58">
        <f t="shared" si="1"/>
        <v>0</v>
      </c>
      <c r="P19" s="39">
        <f t="shared" si="2"/>
        <v>6</v>
      </c>
      <c r="Q19" s="40">
        <f t="shared" si="3"/>
        <v>18</v>
      </c>
      <c r="R19" s="7"/>
      <c r="S19" s="6">
        <v>18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6">
        <f t="shared" si="7"/>
        <v>0.32575757575757575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133</v>
      </c>
      <c r="E20" s="53" t="s">
        <v>221</v>
      </c>
      <c r="F20" s="30" t="s">
        <v>127</v>
      </c>
      <c r="G20" s="12">
        <v>1</v>
      </c>
      <c r="H20" s="13">
        <v>24</v>
      </c>
      <c r="I20" s="7">
        <v>150000</v>
      </c>
      <c r="J20" s="14">
        <v>6956</v>
      </c>
      <c r="K20" s="15">
        <f>L20+20020+14558</f>
        <v>41534</v>
      </c>
      <c r="L20" s="15">
        <f>2770*2+354*4</f>
        <v>6956</v>
      </c>
      <c r="M20" s="15">
        <f t="shared" si="0"/>
        <v>6956</v>
      </c>
      <c r="N20" s="15">
        <v>0</v>
      </c>
      <c r="O20" s="58">
        <f t="shared" si="1"/>
        <v>0</v>
      </c>
      <c r="P20" s="39">
        <f t="shared" si="2"/>
        <v>18</v>
      </c>
      <c r="Q20" s="40">
        <f t="shared" si="3"/>
        <v>6</v>
      </c>
      <c r="R20" s="7"/>
      <c r="S20" s="6">
        <v>6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0.75</v>
      </c>
      <c r="AD20" s="10">
        <f t="shared" si="6"/>
        <v>0.75</v>
      </c>
      <c r="AE20" s="36">
        <f t="shared" si="7"/>
        <v>0.32575757575757575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28160</v>
      </c>
      <c r="K21" s="15">
        <f>L21+50740+61508+62116+62068+58848+54656+61696+61724+33064+28160</f>
        <v>534580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0.32575757575757575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0.32575757575757575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0.32575757575757575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0.32575757575757575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0.32575757575757575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0.32575757575757575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151</v>
      </c>
      <c r="F27" s="12" t="s">
        <v>152</v>
      </c>
      <c r="G27" s="12">
        <v>32</v>
      </c>
      <c r="H27" s="35">
        <v>20</v>
      </c>
      <c r="I27" s="7">
        <v>1300000</v>
      </c>
      <c r="J27" s="14">
        <v>199470</v>
      </c>
      <c r="K27" s="15">
        <f>L27+356070+486150+492600+465600+199470</f>
        <v>1999890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15</v>
      </c>
      <c r="R27" s="7"/>
      <c r="S27" s="6"/>
      <c r="T27" s="16"/>
      <c r="U27" s="16"/>
      <c r="V27" s="120"/>
      <c r="W27" s="5">
        <v>15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0.32575757575757575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4112800</v>
      </c>
      <c r="J28" s="19">
        <f t="shared" si="9"/>
        <v>425936</v>
      </c>
      <c r="K28" s="20">
        <f t="shared" si="9"/>
        <v>4068415</v>
      </c>
      <c r="L28" s="21">
        <f t="shared" si="9"/>
        <v>89528</v>
      </c>
      <c r="M28" s="20">
        <f t="shared" si="9"/>
        <v>89528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172</v>
      </c>
      <c r="Q28" s="43">
        <f t="shared" si="10"/>
        <v>347</v>
      </c>
      <c r="R28" s="23">
        <f t="shared" si="10"/>
        <v>0</v>
      </c>
      <c r="S28" s="24">
        <f t="shared" si="10"/>
        <v>44</v>
      </c>
      <c r="T28" s="24">
        <f t="shared" si="10"/>
        <v>0</v>
      </c>
      <c r="U28" s="24">
        <f t="shared" si="10"/>
        <v>0</v>
      </c>
      <c r="V28" s="25">
        <f t="shared" si="10"/>
        <v>48</v>
      </c>
      <c r="W28" s="26">
        <f t="shared" si="10"/>
        <v>183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72</v>
      </c>
      <c r="AB28" s="28">
        <f>AVERAGE(AB6:AB27)</f>
        <v>0.45</v>
      </c>
      <c r="AC28" s="4">
        <f>AVERAGE(AC6:AC27)</f>
        <v>0.32575757575757575</v>
      </c>
      <c r="AD28" s="4">
        <f>AVERAGE(AD6:AD27)</f>
        <v>0.32575757575757575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264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269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184" t="s">
        <v>46</v>
      </c>
      <c r="D57" s="184" t="s">
        <v>47</v>
      </c>
      <c r="E57" s="184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184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180" t="s">
        <v>220</v>
      </c>
      <c r="D58" s="180" t="s">
        <v>133</v>
      </c>
      <c r="E58" s="180" t="s">
        <v>221</v>
      </c>
      <c r="F58" s="504" t="s">
        <v>265</v>
      </c>
      <c r="G58" s="505"/>
      <c r="H58" s="505"/>
      <c r="I58" s="505"/>
      <c r="J58" s="505"/>
      <c r="K58" s="505"/>
      <c r="L58" s="505"/>
      <c r="M58" s="506"/>
      <c r="N58" s="183" t="s">
        <v>112</v>
      </c>
      <c r="O58" s="177" t="s">
        <v>220</v>
      </c>
      <c r="P58" s="518" t="s">
        <v>133</v>
      </c>
      <c r="Q58" s="519"/>
      <c r="R58" s="518" t="s">
        <v>221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180" t="s">
        <v>190</v>
      </c>
      <c r="D59" s="180" t="s">
        <v>133</v>
      </c>
      <c r="E59" s="180" t="s">
        <v>196</v>
      </c>
      <c r="F59" s="504" t="s">
        <v>266</v>
      </c>
      <c r="G59" s="505"/>
      <c r="H59" s="505"/>
      <c r="I59" s="505"/>
      <c r="J59" s="505"/>
      <c r="K59" s="505"/>
      <c r="L59" s="505"/>
      <c r="M59" s="506"/>
      <c r="N59" s="183" t="s">
        <v>112</v>
      </c>
      <c r="O59" s="177" t="s">
        <v>190</v>
      </c>
      <c r="P59" s="518" t="s">
        <v>133</v>
      </c>
      <c r="Q59" s="519"/>
      <c r="R59" s="518" t="s">
        <v>196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180" t="s">
        <v>223</v>
      </c>
      <c r="D60" s="180" t="s">
        <v>115</v>
      </c>
      <c r="E60" s="180" t="s">
        <v>257</v>
      </c>
      <c r="F60" s="504" t="s">
        <v>267</v>
      </c>
      <c r="G60" s="505"/>
      <c r="H60" s="505"/>
      <c r="I60" s="505"/>
      <c r="J60" s="505"/>
      <c r="K60" s="505"/>
      <c r="L60" s="505"/>
      <c r="M60" s="506"/>
      <c r="N60" s="183" t="s">
        <v>197</v>
      </c>
      <c r="O60" s="177" t="s">
        <v>148</v>
      </c>
      <c r="P60" s="518"/>
      <c r="Q60" s="519"/>
      <c r="R60" s="518" t="s">
        <v>270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197</v>
      </c>
      <c r="B61" s="507"/>
      <c r="C61" s="180" t="s">
        <v>199</v>
      </c>
      <c r="D61" s="180"/>
      <c r="E61" s="180" t="s">
        <v>193</v>
      </c>
      <c r="F61" s="504" t="s">
        <v>268</v>
      </c>
      <c r="G61" s="505"/>
      <c r="H61" s="505"/>
      <c r="I61" s="505"/>
      <c r="J61" s="505"/>
      <c r="K61" s="505"/>
      <c r="L61" s="505"/>
      <c r="M61" s="506"/>
      <c r="N61" s="183" t="s">
        <v>116</v>
      </c>
      <c r="O61" s="177" t="s">
        <v>219</v>
      </c>
      <c r="P61" s="518" t="s">
        <v>115</v>
      </c>
      <c r="Q61" s="519"/>
      <c r="R61" s="518" t="s">
        <v>271</v>
      </c>
      <c r="S61" s="520"/>
      <c r="T61" s="520"/>
      <c r="U61" s="519"/>
      <c r="V61" s="504" t="s">
        <v>123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134</v>
      </c>
      <c r="B62" s="507"/>
      <c r="C62" s="180" t="s">
        <v>156</v>
      </c>
      <c r="D62" s="180" t="s">
        <v>137</v>
      </c>
      <c r="E62" s="180" t="s">
        <v>160</v>
      </c>
      <c r="F62" s="504" t="s">
        <v>268</v>
      </c>
      <c r="G62" s="505"/>
      <c r="H62" s="505"/>
      <c r="I62" s="505"/>
      <c r="J62" s="505"/>
      <c r="K62" s="505"/>
      <c r="L62" s="505"/>
      <c r="M62" s="506"/>
      <c r="N62" s="183"/>
      <c r="O62" s="177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/>
      <c r="B63" s="507"/>
      <c r="C63" s="180"/>
      <c r="D63" s="180"/>
      <c r="E63" s="180"/>
      <c r="F63" s="504"/>
      <c r="G63" s="505"/>
      <c r="H63" s="505"/>
      <c r="I63" s="505"/>
      <c r="J63" s="505"/>
      <c r="K63" s="505"/>
      <c r="L63" s="505"/>
      <c r="M63" s="506"/>
      <c r="N63" s="183"/>
      <c r="O63" s="177"/>
      <c r="P63" s="518"/>
      <c r="Q63" s="519"/>
      <c r="R63" s="518"/>
      <c r="S63" s="520"/>
      <c r="T63" s="520"/>
      <c r="U63" s="519"/>
      <c r="V63" s="491"/>
      <c r="W63" s="491"/>
      <c r="X63" s="491"/>
      <c r="Y63" s="491"/>
      <c r="Z63" s="491"/>
      <c r="AA63" s="491"/>
      <c r="AB63" s="491"/>
      <c r="AC63" s="491"/>
      <c r="AD63" s="508"/>
    </row>
    <row r="64" spans="1:32" ht="27" customHeight="1">
      <c r="A64" s="517"/>
      <c r="B64" s="507"/>
      <c r="C64" s="180"/>
      <c r="D64" s="180"/>
      <c r="E64" s="180"/>
      <c r="F64" s="504"/>
      <c r="G64" s="505"/>
      <c r="H64" s="505"/>
      <c r="I64" s="505"/>
      <c r="J64" s="505"/>
      <c r="K64" s="505"/>
      <c r="L64" s="505"/>
      <c r="M64" s="506"/>
      <c r="N64" s="183"/>
      <c r="O64" s="177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179"/>
      <c r="D65" s="179"/>
      <c r="E65" s="180"/>
      <c r="F65" s="504"/>
      <c r="G65" s="505"/>
      <c r="H65" s="505"/>
      <c r="I65" s="505"/>
      <c r="J65" s="505"/>
      <c r="K65" s="505"/>
      <c r="L65" s="505"/>
      <c r="M65" s="506"/>
      <c r="N65" s="183"/>
      <c r="O65" s="177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179"/>
      <c r="D66" s="179"/>
      <c r="E66" s="180"/>
      <c r="F66" s="504"/>
      <c r="G66" s="505"/>
      <c r="H66" s="505"/>
      <c r="I66" s="505"/>
      <c r="J66" s="505"/>
      <c r="K66" s="505"/>
      <c r="L66" s="505"/>
      <c r="M66" s="506"/>
      <c r="N66" s="183"/>
      <c r="O66" s="177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181"/>
      <c r="D67" s="182"/>
      <c r="E67" s="181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272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178" t="s">
        <v>2</v>
      </c>
      <c r="D69" s="178" t="s">
        <v>37</v>
      </c>
      <c r="E69" s="178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178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112</v>
      </c>
      <c r="D70" s="173"/>
      <c r="E70" s="176" t="s">
        <v>115</v>
      </c>
      <c r="F70" s="488" t="s">
        <v>273</v>
      </c>
      <c r="G70" s="478"/>
      <c r="H70" s="478"/>
      <c r="I70" s="478"/>
      <c r="J70" s="478"/>
      <c r="K70" s="478" t="s">
        <v>126</v>
      </c>
      <c r="L70" s="478"/>
      <c r="M70" s="51" t="s">
        <v>155</v>
      </c>
      <c r="N70" s="489" t="s">
        <v>148</v>
      </c>
      <c r="O70" s="489"/>
      <c r="P70" s="490">
        <v>50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112</v>
      </c>
      <c r="D71" s="173"/>
      <c r="E71" s="176" t="s">
        <v>115</v>
      </c>
      <c r="F71" s="492" t="s">
        <v>274</v>
      </c>
      <c r="G71" s="493"/>
      <c r="H71" s="493"/>
      <c r="I71" s="493"/>
      <c r="J71" s="494"/>
      <c r="K71" s="478" t="s">
        <v>126</v>
      </c>
      <c r="L71" s="478"/>
      <c r="M71" s="51" t="s">
        <v>155</v>
      </c>
      <c r="N71" s="489" t="s">
        <v>148</v>
      </c>
      <c r="O71" s="489"/>
      <c r="P71" s="490">
        <v>50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/>
      <c r="D72" s="173"/>
      <c r="E72" s="176"/>
      <c r="F72" s="492"/>
      <c r="G72" s="493"/>
      <c r="H72" s="493"/>
      <c r="I72" s="493"/>
      <c r="J72" s="494"/>
      <c r="K72" s="478"/>
      <c r="L72" s="478"/>
      <c r="M72" s="51"/>
      <c r="N72" s="489"/>
      <c r="O72" s="489"/>
      <c r="P72" s="490"/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173"/>
      <c r="E73" s="176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173"/>
      <c r="E74" s="176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173"/>
      <c r="E75" s="176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173"/>
      <c r="E76" s="176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173"/>
      <c r="E77" s="176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173"/>
      <c r="E78" s="176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173"/>
      <c r="E79" s="176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275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175" t="s">
        <v>2</v>
      </c>
      <c r="D81" s="175" t="s">
        <v>37</v>
      </c>
      <c r="E81" s="175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174"/>
      <c r="D82" s="174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173"/>
      <c r="D83" s="173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173"/>
      <c r="D84" s="173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173"/>
      <c r="D85" s="173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173"/>
      <c r="D86" s="173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173"/>
      <c r="D87" s="173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173"/>
      <c r="D88" s="173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276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>
        <v>9</v>
      </c>
      <c r="D91" s="454"/>
      <c r="E91" s="454" t="s">
        <v>124</v>
      </c>
      <c r="F91" s="454"/>
      <c r="G91" s="454"/>
      <c r="H91" s="454"/>
      <c r="I91" s="454"/>
      <c r="J91" s="454"/>
      <c r="K91" s="454" t="s">
        <v>129</v>
      </c>
      <c r="L91" s="454"/>
      <c r="M91" s="454"/>
      <c r="N91" s="454"/>
      <c r="O91" s="454"/>
      <c r="P91" s="454"/>
      <c r="Q91" s="454"/>
      <c r="R91" s="454"/>
      <c r="S91" s="454"/>
      <c r="T91" s="454" t="s">
        <v>125</v>
      </c>
      <c r="U91" s="454"/>
      <c r="V91" s="455">
        <v>1900000</v>
      </c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11A2-2E75-4442-9AEC-1C0AEDFA0E3B}">
  <sheetPr>
    <pageSetUpPr fitToPage="1"/>
  </sheetPr>
  <dimension ref="A1:AF93"/>
  <sheetViews>
    <sheetView view="pageBreakPreview" zoomScale="70" zoomScaleNormal="72" zoomScaleSheetLayoutView="70" workbookViewId="0">
      <selection activeCell="E92" sqref="E92:J9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277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186" t="s">
        <v>17</v>
      </c>
      <c r="L5" s="186" t="s">
        <v>18</v>
      </c>
      <c r="M5" s="186" t="s">
        <v>19</v>
      </c>
      <c r="N5" s="18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209</v>
      </c>
      <c r="E6" s="53" t="s">
        <v>210</v>
      </c>
      <c r="F6" s="30" t="s">
        <v>211</v>
      </c>
      <c r="G6" s="12">
        <v>1</v>
      </c>
      <c r="H6" s="13">
        <v>24</v>
      </c>
      <c r="I6" s="31">
        <v>8000</v>
      </c>
      <c r="J6" s="14">
        <v>4120</v>
      </c>
      <c r="K6" s="15">
        <f>L6+4354+4120</f>
        <v>8474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7" si="4">IF(J6=0,"0",(L6/J6))</f>
        <v>0</v>
      </c>
      <c r="AC6" s="9">
        <f t="shared" ref="AC6:AC27" si="5">IF(P6=0,"0",(P6/24))</f>
        <v>0</v>
      </c>
      <c r="AD6" s="10">
        <f t="shared" ref="AD6:AD27" si="6">AC6*AB6*(1-O6)</f>
        <v>0</v>
      </c>
      <c r="AE6" s="36">
        <f t="shared" ref="AE6:AE27" si="7">$AD$28</f>
        <v>0.15340909090909091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2965</v>
      </c>
      <c r="K7" s="15">
        <f>L7+4540+5413+4776+3810+3773+2780+4786+5910+5528+3614+7707+9828+3822+6888+11032+9113+10064+12756+9446</f>
        <v>128551</v>
      </c>
      <c r="L7" s="15">
        <v>2965</v>
      </c>
      <c r="M7" s="15">
        <f t="shared" si="0"/>
        <v>2965</v>
      </c>
      <c r="N7" s="15">
        <v>0</v>
      </c>
      <c r="O7" s="58">
        <f t="shared" si="1"/>
        <v>0</v>
      </c>
      <c r="P7" s="39">
        <f t="shared" si="2"/>
        <v>10</v>
      </c>
      <c r="Q7" s="40">
        <f t="shared" si="3"/>
        <v>14</v>
      </c>
      <c r="R7" s="7"/>
      <c r="S7" s="6"/>
      <c r="T7" s="16"/>
      <c r="U7" s="16"/>
      <c r="V7" s="17">
        <v>14</v>
      </c>
      <c r="W7" s="5"/>
      <c r="X7" s="16"/>
      <c r="Y7" s="16"/>
      <c r="Z7" s="16"/>
      <c r="AA7" s="18"/>
      <c r="AB7" s="8">
        <f t="shared" si="4"/>
        <v>1</v>
      </c>
      <c r="AC7" s="9">
        <f t="shared" si="5"/>
        <v>0.41666666666666669</v>
      </c>
      <c r="AD7" s="10">
        <f t="shared" si="6"/>
        <v>0.41666666666666669</v>
      </c>
      <c r="AE7" s="36">
        <f t="shared" si="7"/>
        <v>0.15340909090909091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126000</v>
      </c>
      <c r="J8" s="14">
        <v>5148</v>
      </c>
      <c r="K8" s="15">
        <f>L8+1708+5184+11810+11756</f>
        <v>35606</v>
      </c>
      <c r="L8" s="15">
        <f>2574*2</f>
        <v>5148</v>
      </c>
      <c r="M8" s="15">
        <f t="shared" si="0"/>
        <v>5148</v>
      </c>
      <c r="N8" s="15">
        <v>0</v>
      </c>
      <c r="O8" s="58">
        <f t="shared" si="1"/>
        <v>0</v>
      </c>
      <c r="P8" s="39">
        <f t="shared" si="2"/>
        <v>10</v>
      </c>
      <c r="Q8" s="40">
        <f t="shared" si="3"/>
        <v>14</v>
      </c>
      <c r="R8" s="7"/>
      <c r="S8" s="6"/>
      <c r="T8" s="16"/>
      <c r="U8" s="16"/>
      <c r="V8" s="17">
        <v>14</v>
      </c>
      <c r="W8" s="5"/>
      <c r="X8" s="16"/>
      <c r="Y8" s="16"/>
      <c r="Z8" s="16"/>
      <c r="AA8" s="18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6">
        <f t="shared" si="7"/>
        <v>0.15340909090909091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197</v>
      </c>
      <c r="D9" s="52"/>
      <c r="E9" s="53" t="s">
        <v>193</v>
      </c>
      <c r="F9" s="30" t="s">
        <v>212</v>
      </c>
      <c r="G9" s="12">
        <v>2</v>
      </c>
      <c r="H9" s="13">
        <v>24</v>
      </c>
      <c r="I9" s="7">
        <v>126000</v>
      </c>
      <c r="J9" s="14">
        <v>2544</v>
      </c>
      <c r="K9" s="15">
        <f>L9+11914+12528+12574+9262</f>
        <v>48822</v>
      </c>
      <c r="L9" s="15">
        <f>2544</f>
        <v>2544</v>
      </c>
      <c r="M9" s="15">
        <f t="shared" si="0"/>
        <v>2544</v>
      </c>
      <c r="N9" s="15">
        <v>0</v>
      </c>
      <c r="O9" s="58">
        <f t="shared" si="1"/>
        <v>0</v>
      </c>
      <c r="P9" s="39">
        <f t="shared" si="2"/>
        <v>10</v>
      </c>
      <c r="Q9" s="40">
        <f t="shared" si="3"/>
        <v>14</v>
      </c>
      <c r="R9" s="7"/>
      <c r="S9" s="6"/>
      <c r="T9" s="16"/>
      <c r="U9" s="16"/>
      <c r="V9" s="17">
        <v>14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6">
        <f t="shared" si="7"/>
        <v>0.15340909090909091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126000</v>
      </c>
      <c r="J10" s="14">
        <v>5574</v>
      </c>
      <c r="K10" s="15">
        <f>L10+11830+12840+12918+12834</f>
        <v>55996</v>
      </c>
      <c r="L10" s="15">
        <f>2787*2</f>
        <v>5574</v>
      </c>
      <c r="M10" s="15">
        <f t="shared" si="0"/>
        <v>5574</v>
      </c>
      <c r="N10" s="15">
        <v>0</v>
      </c>
      <c r="O10" s="58">
        <f t="shared" si="1"/>
        <v>0</v>
      </c>
      <c r="P10" s="39">
        <f t="shared" si="2"/>
        <v>10</v>
      </c>
      <c r="Q10" s="40">
        <f t="shared" si="3"/>
        <v>14</v>
      </c>
      <c r="R10" s="7"/>
      <c r="S10" s="6"/>
      <c r="T10" s="16"/>
      <c r="U10" s="16"/>
      <c r="V10" s="17">
        <v>14</v>
      </c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0.41666666666666669</v>
      </c>
      <c r="AD10" s="10">
        <f t="shared" si="6"/>
        <v>0.41666666666666669</v>
      </c>
      <c r="AE10" s="36">
        <f t="shared" si="7"/>
        <v>0.15340909090909091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202</v>
      </c>
      <c r="E11" s="53" t="s">
        <v>195</v>
      </c>
      <c r="F11" s="30" t="s">
        <v>126</v>
      </c>
      <c r="G11" s="33">
        <v>2</v>
      </c>
      <c r="H11" s="35">
        <v>24</v>
      </c>
      <c r="I11" s="7">
        <v>3000</v>
      </c>
      <c r="J11" s="14">
        <v>4302</v>
      </c>
      <c r="K11" s="15">
        <f>L11+7296+11888+11914+11884</f>
        <v>47284</v>
      </c>
      <c r="L11" s="15">
        <f>2151*2</f>
        <v>4302</v>
      </c>
      <c r="M11" s="15">
        <f t="shared" si="0"/>
        <v>4302</v>
      </c>
      <c r="N11" s="15">
        <v>0</v>
      </c>
      <c r="O11" s="58">
        <f t="shared" si="1"/>
        <v>0</v>
      </c>
      <c r="P11" s="39">
        <f t="shared" si="2"/>
        <v>9</v>
      </c>
      <c r="Q11" s="40">
        <f t="shared" si="3"/>
        <v>15</v>
      </c>
      <c r="R11" s="7"/>
      <c r="S11" s="6"/>
      <c r="T11" s="16"/>
      <c r="U11" s="16"/>
      <c r="V11" s="17"/>
      <c r="W11" s="5">
        <v>15</v>
      </c>
      <c r="X11" s="16"/>
      <c r="Y11" s="16"/>
      <c r="Z11" s="16"/>
      <c r="AA11" s="18"/>
      <c r="AB11" s="8">
        <f t="shared" si="4"/>
        <v>1</v>
      </c>
      <c r="AC11" s="9">
        <f t="shared" si="5"/>
        <v>0.375</v>
      </c>
      <c r="AD11" s="10">
        <f t="shared" si="6"/>
        <v>0.375</v>
      </c>
      <c r="AE11" s="36">
        <f t="shared" si="7"/>
        <v>0.15340909090909091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271</v>
      </c>
      <c r="F12" s="30" t="s">
        <v>278</v>
      </c>
      <c r="G12" s="12">
        <v>1</v>
      </c>
      <c r="H12" s="13">
        <v>22</v>
      </c>
      <c r="I12" s="31">
        <v>10000</v>
      </c>
      <c r="J12" s="5">
        <v>1982</v>
      </c>
      <c r="K12" s="15">
        <f>L12</f>
        <v>1982</v>
      </c>
      <c r="L12" s="15">
        <v>1982</v>
      </c>
      <c r="M12" s="15">
        <f t="shared" si="0"/>
        <v>1982</v>
      </c>
      <c r="N12" s="15">
        <v>0</v>
      </c>
      <c r="O12" s="58">
        <f t="shared" si="1"/>
        <v>0</v>
      </c>
      <c r="P12" s="39">
        <f t="shared" si="2"/>
        <v>10</v>
      </c>
      <c r="Q12" s="40">
        <f t="shared" si="3"/>
        <v>14</v>
      </c>
      <c r="R12" s="7"/>
      <c r="S12" s="6"/>
      <c r="T12" s="16"/>
      <c r="U12" s="16"/>
      <c r="V12" s="17">
        <v>14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0.41666666666666669</v>
      </c>
      <c r="AD12" s="10">
        <f t="shared" si="6"/>
        <v>0.41666666666666669</v>
      </c>
      <c r="AE12" s="36">
        <f t="shared" si="7"/>
        <v>0.15340909090909091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202</v>
      </c>
      <c r="E13" s="53" t="s">
        <v>237</v>
      </c>
      <c r="F13" s="30" t="s">
        <v>126</v>
      </c>
      <c r="G13" s="33">
        <v>4</v>
      </c>
      <c r="H13" s="35">
        <v>22</v>
      </c>
      <c r="I13" s="7">
        <v>150000</v>
      </c>
      <c r="J13" s="14">
        <v>10860</v>
      </c>
      <c r="K13" s="15">
        <f>L13+16648+26288+26040</f>
        <v>79836</v>
      </c>
      <c r="L13" s="15">
        <f>2715*4</f>
        <v>10860</v>
      </c>
      <c r="M13" s="15">
        <f t="shared" si="0"/>
        <v>10860</v>
      </c>
      <c r="N13" s="15">
        <v>0</v>
      </c>
      <c r="O13" s="58">
        <f t="shared" si="1"/>
        <v>0</v>
      </c>
      <c r="P13" s="39">
        <f t="shared" si="2"/>
        <v>10</v>
      </c>
      <c r="Q13" s="40">
        <f t="shared" si="3"/>
        <v>14</v>
      </c>
      <c r="R13" s="7"/>
      <c r="S13" s="6"/>
      <c r="T13" s="16"/>
      <c r="U13" s="16"/>
      <c r="V13" s="17">
        <v>14</v>
      </c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0.41666666666666669</v>
      </c>
      <c r="AD13" s="10">
        <f t="shared" si="6"/>
        <v>0.41666666666666669</v>
      </c>
      <c r="AE13" s="36">
        <f t="shared" si="7"/>
        <v>0.15340909090909091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257</v>
      </c>
      <c r="F14" s="30" t="s">
        <v>230</v>
      </c>
      <c r="G14" s="33">
        <v>1</v>
      </c>
      <c r="H14" s="35">
        <v>50</v>
      </c>
      <c r="I14" s="7">
        <v>200</v>
      </c>
      <c r="J14" s="5">
        <v>180</v>
      </c>
      <c r="K14" s="15">
        <f>L14+180</f>
        <v>180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0.15340909090909091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0.15340909090909091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134</v>
      </c>
      <c r="D16" s="52" t="s">
        <v>173</v>
      </c>
      <c r="E16" s="53" t="s">
        <v>174</v>
      </c>
      <c r="F16" s="30" t="s">
        <v>135</v>
      </c>
      <c r="G16" s="12">
        <v>1</v>
      </c>
      <c r="H16" s="13">
        <v>24</v>
      </c>
      <c r="I16" s="7">
        <v>1100</v>
      </c>
      <c r="J16" s="14">
        <v>1142</v>
      </c>
      <c r="K16" s="15">
        <f>L16+1142</f>
        <v>1142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0.15340909090909091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28200</v>
      </c>
      <c r="K17" s="15">
        <f>L17+26370+39325+19755+18405+40885+18620+38310+41130+40940+28200</f>
        <v>311940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0.15340909090909091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197</v>
      </c>
      <c r="D18" s="52"/>
      <c r="E18" s="53" t="s">
        <v>270</v>
      </c>
      <c r="F18" s="30" t="s">
        <v>212</v>
      </c>
      <c r="G18" s="33">
        <v>1</v>
      </c>
      <c r="H18" s="35">
        <v>24</v>
      </c>
      <c r="I18" s="7">
        <v>500</v>
      </c>
      <c r="J18" s="14">
        <v>1560</v>
      </c>
      <c r="K18" s="15">
        <f>L18</f>
        <v>1560</v>
      </c>
      <c r="L18" s="15">
        <v>1560</v>
      </c>
      <c r="M18" s="15">
        <f t="shared" si="0"/>
        <v>1560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/>
      <c r="T18" s="16"/>
      <c r="U18" s="16"/>
      <c r="V18" s="17"/>
      <c r="W18" s="5">
        <v>18</v>
      </c>
      <c r="X18" s="16"/>
      <c r="Y18" s="16"/>
      <c r="Z18" s="16"/>
      <c r="AA18" s="18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6">
        <f t="shared" si="7"/>
        <v>0.15340909090909091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196</v>
      </c>
      <c r="F19" s="30" t="s">
        <v>127</v>
      </c>
      <c r="G19" s="33">
        <v>1</v>
      </c>
      <c r="H19" s="35">
        <v>24</v>
      </c>
      <c r="I19" s="7">
        <v>20000</v>
      </c>
      <c r="J19" s="14">
        <v>1170</v>
      </c>
      <c r="K19" s="15">
        <f>L19+5252+4771+4224+1170</f>
        <v>15417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0.15340909090909091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133</v>
      </c>
      <c r="E20" s="53" t="s">
        <v>221</v>
      </c>
      <c r="F20" s="30" t="s">
        <v>127</v>
      </c>
      <c r="G20" s="12">
        <v>1</v>
      </c>
      <c r="H20" s="13">
        <v>24</v>
      </c>
      <c r="I20" s="7">
        <v>150000</v>
      </c>
      <c r="J20" s="14">
        <v>4260</v>
      </c>
      <c r="K20" s="15">
        <f>L20+20020+14558+6956</f>
        <v>45794</v>
      </c>
      <c r="L20" s="15">
        <f>1300*3+180*2</f>
        <v>4260</v>
      </c>
      <c r="M20" s="15">
        <f t="shared" si="0"/>
        <v>4260</v>
      </c>
      <c r="N20" s="15">
        <v>0</v>
      </c>
      <c r="O20" s="58">
        <f t="shared" si="1"/>
        <v>0</v>
      </c>
      <c r="P20" s="39">
        <f t="shared" si="2"/>
        <v>6</v>
      </c>
      <c r="Q20" s="40">
        <f t="shared" si="3"/>
        <v>18</v>
      </c>
      <c r="R20" s="7"/>
      <c r="S20" s="6"/>
      <c r="T20" s="16">
        <v>18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0.25</v>
      </c>
      <c r="AD20" s="10">
        <f t="shared" si="6"/>
        <v>0.25</v>
      </c>
      <c r="AE20" s="36">
        <f t="shared" si="7"/>
        <v>0.15340909090909091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28160</v>
      </c>
      <c r="K21" s="15">
        <f>L21+50740+61508+62116+62068+58848+54656+61696+61724+33064+28160</f>
        <v>534580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0.15340909090909091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0.15340909090909091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0.15340909090909091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0.15340909090909091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0.15340909090909091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0.15340909090909091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151</v>
      </c>
      <c r="F27" s="12" t="s">
        <v>152</v>
      </c>
      <c r="G27" s="12">
        <v>32</v>
      </c>
      <c r="H27" s="35">
        <v>20</v>
      </c>
      <c r="I27" s="7">
        <v>1300000</v>
      </c>
      <c r="J27" s="14">
        <v>199470</v>
      </c>
      <c r="K27" s="15">
        <f>L27+356070+486150+492600+465600+199470</f>
        <v>1999890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15</v>
      </c>
      <c r="R27" s="7"/>
      <c r="S27" s="6"/>
      <c r="T27" s="16"/>
      <c r="U27" s="16"/>
      <c r="V27" s="120"/>
      <c r="W27" s="5">
        <v>15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0.15340909090909091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4072800</v>
      </c>
      <c r="J28" s="19">
        <f t="shared" si="9"/>
        <v>352769</v>
      </c>
      <c r="K28" s="20">
        <f t="shared" si="9"/>
        <v>4062430</v>
      </c>
      <c r="L28" s="21">
        <f t="shared" si="9"/>
        <v>39195</v>
      </c>
      <c r="M28" s="20">
        <f t="shared" si="9"/>
        <v>39195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81</v>
      </c>
      <c r="Q28" s="43">
        <f t="shared" si="10"/>
        <v>438</v>
      </c>
      <c r="R28" s="23">
        <f t="shared" si="10"/>
        <v>0</v>
      </c>
      <c r="S28" s="24">
        <f t="shared" si="10"/>
        <v>48</v>
      </c>
      <c r="T28" s="24">
        <f t="shared" si="10"/>
        <v>18</v>
      </c>
      <c r="U28" s="24">
        <f t="shared" si="10"/>
        <v>0</v>
      </c>
      <c r="V28" s="25">
        <f t="shared" si="10"/>
        <v>108</v>
      </c>
      <c r="W28" s="26">
        <f t="shared" si="10"/>
        <v>216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48</v>
      </c>
      <c r="AB28" s="28">
        <f>AVERAGE(AB6:AB27)</f>
        <v>0.45</v>
      </c>
      <c r="AC28" s="4">
        <f>AVERAGE(AC6:AC27)</f>
        <v>0.15340909090909091</v>
      </c>
      <c r="AD28" s="4">
        <f>AVERAGE(AD6:AD27)</f>
        <v>0.15340909090909091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279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282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187" t="s">
        <v>46</v>
      </c>
      <c r="D57" s="187" t="s">
        <v>47</v>
      </c>
      <c r="E57" s="187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187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189" t="s">
        <v>220</v>
      </c>
      <c r="D58" s="189" t="s">
        <v>133</v>
      </c>
      <c r="E58" s="189" t="s">
        <v>221</v>
      </c>
      <c r="F58" s="504" t="s">
        <v>280</v>
      </c>
      <c r="G58" s="505"/>
      <c r="H58" s="505"/>
      <c r="I58" s="505"/>
      <c r="J58" s="505"/>
      <c r="K58" s="505"/>
      <c r="L58" s="505"/>
      <c r="M58" s="506"/>
      <c r="N58" s="188" t="s">
        <v>112</v>
      </c>
      <c r="O58" s="195" t="s">
        <v>220</v>
      </c>
      <c r="P58" s="518" t="s">
        <v>133</v>
      </c>
      <c r="Q58" s="519"/>
      <c r="R58" s="518" t="s">
        <v>221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189" t="s">
        <v>190</v>
      </c>
      <c r="D59" s="189" t="s">
        <v>133</v>
      </c>
      <c r="E59" s="189" t="s">
        <v>196</v>
      </c>
      <c r="F59" s="504" t="s">
        <v>281</v>
      </c>
      <c r="G59" s="505"/>
      <c r="H59" s="505"/>
      <c r="I59" s="505"/>
      <c r="J59" s="505"/>
      <c r="K59" s="505"/>
      <c r="L59" s="505"/>
      <c r="M59" s="506"/>
      <c r="N59" s="188" t="s">
        <v>112</v>
      </c>
      <c r="O59" s="195" t="s">
        <v>190</v>
      </c>
      <c r="P59" s="518" t="s">
        <v>133</v>
      </c>
      <c r="Q59" s="519"/>
      <c r="R59" s="518" t="s">
        <v>196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116</v>
      </c>
      <c r="B60" s="507"/>
      <c r="C60" s="189" t="s">
        <v>219</v>
      </c>
      <c r="D60" s="189" t="s">
        <v>115</v>
      </c>
      <c r="E60" s="189" t="s">
        <v>271</v>
      </c>
      <c r="F60" s="504" t="s">
        <v>123</v>
      </c>
      <c r="G60" s="505"/>
      <c r="H60" s="505"/>
      <c r="I60" s="505"/>
      <c r="J60" s="505"/>
      <c r="K60" s="505"/>
      <c r="L60" s="505"/>
      <c r="M60" s="506"/>
      <c r="N60" s="188" t="s">
        <v>197</v>
      </c>
      <c r="O60" s="195" t="s">
        <v>148</v>
      </c>
      <c r="P60" s="518"/>
      <c r="Q60" s="519"/>
      <c r="R60" s="518" t="s">
        <v>283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197</v>
      </c>
      <c r="B61" s="507"/>
      <c r="C61" s="189" t="s">
        <v>148</v>
      </c>
      <c r="D61" s="189"/>
      <c r="E61" s="189" t="s">
        <v>270</v>
      </c>
      <c r="F61" s="504" t="s">
        <v>123</v>
      </c>
      <c r="G61" s="505"/>
      <c r="H61" s="505"/>
      <c r="I61" s="505"/>
      <c r="J61" s="505"/>
      <c r="K61" s="505"/>
      <c r="L61" s="505"/>
      <c r="M61" s="506"/>
      <c r="N61" s="188" t="s">
        <v>134</v>
      </c>
      <c r="O61" s="195" t="s">
        <v>156</v>
      </c>
      <c r="P61" s="518" t="s">
        <v>137</v>
      </c>
      <c r="Q61" s="519"/>
      <c r="R61" s="518" t="s">
        <v>160</v>
      </c>
      <c r="S61" s="520"/>
      <c r="T61" s="520"/>
      <c r="U61" s="519"/>
      <c r="V61" s="504" t="s">
        <v>284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/>
      <c r="B62" s="507"/>
      <c r="C62" s="189"/>
      <c r="D62" s="189"/>
      <c r="E62" s="189"/>
      <c r="F62" s="504"/>
      <c r="G62" s="505"/>
      <c r="H62" s="505"/>
      <c r="I62" s="505"/>
      <c r="J62" s="505"/>
      <c r="K62" s="505"/>
      <c r="L62" s="505"/>
      <c r="M62" s="506"/>
      <c r="N62" s="188" t="s">
        <v>197</v>
      </c>
      <c r="O62" s="195" t="s">
        <v>199</v>
      </c>
      <c r="P62" s="518"/>
      <c r="Q62" s="519"/>
      <c r="R62" s="518" t="s">
        <v>193</v>
      </c>
      <c r="S62" s="520"/>
      <c r="T62" s="520"/>
      <c r="U62" s="519"/>
      <c r="V62" s="504" t="s">
        <v>285</v>
      </c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/>
      <c r="B63" s="507"/>
      <c r="C63" s="189"/>
      <c r="D63" s="189"/>
      <c r="E63" s="189"/>
      <c r="F63" s="504"/>
      <c r="G63" s="505"/>
      <c r="H63" s="505"/>
      <c r="I63" s="505"/>
      <c r="J63" s="505"/>
      <c r="K63" s="505"/>
      <c r="L63" s="505"/>
      <c r="M63" s="506"/>
      <c r="N63" s="188"/>
      <c r="O63" s="195"/>
      <c r="P63" s="518"/>
      <c r="Q63" s="519"/>
      <c r="R63" s="518"/>
      <c r="S63" s="520"/>
      <c r="T63" s="520"/>
      <c r="U63" s="519"/>
      <c r="V63" s="491"/>
      <c r="W63" s="491"/>
      <c r="X63" s="491"/>
      <c r="Y63" s="491"/>
      <c r="Z63" s="491"/>
      <c r="AA63" s="491"/>
      <c r="AB63" s="491"/>
      <c r="AC63" s="491"/>
      <c r="AD63" s="508"/>
    </row>
    <row r="64" spans="1:32" ht="27" customHeight="1">
      <c r="A64" s="517"/>
      <c r="B64" s="507"/>
      <c r="C64" s="189"/>
      <c r="D64" s="189"/>
      <c r="E64" s="189"/>
      <c r="F64" s="504"/>
      <c r="G64" s="505"/>
      <c r="H64" s="505"/>
      <c r="I64" s="505"/>
      <c r="J64" s="505"/>
      <c r="K64" s="505"/>
      <c r="L64" s="505"/>
      <c r="M64" s="506"/>
      <c r="N64" s="188"/>
      <c r="O64" s="195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192"/>
      <c r="D65" s="192"/>
      <c r="E65" s="189"/>
      <c r="F65" s="504"/>
      <c r="G65" s="505"/>
      <c r="H65" s="505"/>
      <c r="I65" s="505"/>
      <c r="J65" s="505"/>
      <c r="K65" s="505"/>
      <c r="L65" s="505"/>
      <c r="M65" s="506"/>
      <c r="N65" s="188"/>
      <c r="O65" s="195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192"/>
      <c r="D66" s="192"/>
      <c r="E66" s="189"/>
      <c r="F66" s="504"/>
      <c r="G66" s="505"/>
      <c r="H66" s="505"/>
      <c r="I66" s="505"/>
      <c r="J66" s="505"/>
      <c r="K66" s="505"/>
      <c r="L66" s="505"/>
      <c r="M66" s="506"/>
      <c r="N66" s="188"/>
      <c r="O66" s="195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190"/>
      <c r="D67" s="191"/>
      <c r="E67" s="190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286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193" t="s">
        <v>2</v>
      </c>
      <c r="D69" s="193" t="s">
        <v>37</v>
      </c>
      <c r="E69" s="193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193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/>
      <c r="D70" s="197"/>
      <c r="E70" s="194"/>
      <c r="F70" s="488"/>
      <c r="G70" s="478"/>
      <c r="H70" s="478"/>
      <c r="I70" s="478"/>
      <c r="J70" s="478"/>
      <c r="K70" s="478"/>
      <c r="L70" s="478"/>
      <c r="M70" s="51"/>
      <c r="N70" s="489"/>
      <c r="O70" s="489"/>
      <c r="P70" s="490"/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/>
      <c r="D71" s="197"/>
      <c r="E71" s="194"/>
      <c r="F71" s="492"/>
      <c r="G71" s="493"/>
      <c r="H71" s="493"/>
      <c r="I71" s="493"/>
      <c r="J71" s="494"/>
      <c r="K71" s="478"/>
      <c r="L71" s="478"/>
      <c r="M71" s="51"/>
      <c r="N71" s="489"/>
      <c r="O71" s="489"/>
      <c r="P71" s="490"/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/>
      <c r="D72" s="197"/>
      <c r="E72" s="194"/>
      <c r="F72" s="492"/>
      <c r="G72" s="493"/>
      <c r="H72" s="493"/>
      <c r="I72" s="493"/>
      <c r="J72" s="494"/>
      <c r="K72" s="478"/>
      <c r="L72" s="478"/>
      <c r="M72" s="51"/>
      <c r="N72" s="489"/>
      <c r="O72" s="489"/>
      <c r="P72" s="490"/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197"/>
      <c r="E73" s="194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197"/>
      <c r="E74" s="194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197"/>
      <c r="E75" s="194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197"/>
      <c r="E76" s="194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197"/>
      <c r="E77" s="194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197"/>
      <c r="E78" s="194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197"/>
      <c r="E79" s="194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287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196" t="s">
        <v>2</v>
      </c>
      <c r="D81" s="196" t="s">
        <v>37</v>
      </c>
      <c r="E81" s="196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198"/>
      <c r="D82" s="198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197"/>
      <c r="D83" s="197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197"/>
      <c r="D84" s="197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197"/>
      <c r="D85" s="197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197"/>
      <c r="D86" s="197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197"/>
      <c r="D87" s="197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197"/>
      <c r="D88" s="197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288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>
        <v>9</v>
      </c>
      <c r="D91" s="454"/>
      <c r="E91" s="454" t="s">
        <v>124</v>
      </c>
      <c r="F91" s="454"/>
      <c r="G91" s="454"/>
      <c r="H91" s="454"/>
      <c r="I91" s="454"/>
      <c r="J91" s="454"/>
      <c r="K91" s="454" t="s">
        <v>129</v>
      </c>
      <c r="L91" s="454"/>
      <c r="M91" s="454"/>
      <c r="N91" s="454"/>
      <c r="O91" s="454"/>
      <c r="P91" s="454"/>
      <c r="Q91" s="454"/>
      <c r="R91" s="454"/>
      <c r="S91" s="454"/>
      <c r="T91" s="454" t="s">
        <v>125</v>
      </c>
      <c r="U91" s="454"/>
      <c r="V91" s="455">
        <v>1900000</v>
      </c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2A39-AB2A-4F33-A3ED-89F201CDE18A}">
  <sheetPr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289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211" t="s">
        <v>17</v>
      </c>
      <c r="L5" s="211" t="s">
        <v>18</v>
      </c>
      <c r="M5" s="211" t="s">
        <v>19</v>
      </c>
      <c r="N5" s="21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209</v>
      </c>
      <c r="E6" s="53" t="s">
        <v>210</v>
      </c>
      <c r="F6" s="30" t="s">
        <v>211</v>
      </c>
      <c r="G6" s="12">
        <v>1</v>
      </c>
      <c r="H6" s="13">
        <v>24</v>
      </c>
      <c r="I6" s="31">
        <v>8000</v>
      </c>
      <c r="J6" s="14">
        <v>4120</v>
      </c>
      <c r="K6" s="15">
        <f>L6+4354+4120</f>
        <v>8474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7" si="4">IF(J6=0,"0",(L6/J6))</f>
        <v>0</v>
      </c>
      <c r="AC6" s="9">
        <f t="shared" ref="AC6:AC27" si="5">IF(P6=0,"0",(P6/24))</f>
        <v>0</v>
      </c>
      <c r="AD6" s="10">
        <f t="shared" ref="AD6:AD27" si="6">AC6*AB6*(1-O6)</f>
        <v>0</v>
      </c>
      <c r="AE6" s="36">
        <f t="shared" ref="AE6:AE27" si="7">$AD$28</f>
        <v>0.3503787878787879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8390</v>
      </c>
      <c r="K7" s="15">
        <f>L7+4540+5413+4776+3810+3773+2780+4786+5910+5528+3614+7707+9828+3822+6888+11032+9113+10064+12756+9446+2965</f>
        <v>136941</v>
      </c>
      <c r="L7" s="15">
        <f>3182*2+1326+350*2</f>
        <v>8390</v>
      </c>
      <c r="M7" s="15">
        <f t="shared" si="0"/>
        <v>8390</v>
      </c>
      <c r="N7" s="15">
        <v>0</v>
      </c>
      <c r="O7" s="58">
        <f t="shared" si="1"/>
        <v>0</v>
      </c>
      <c r="P7" s="39">
        <f t="shared" si="2"/>
        <v>20</v>
      </c>
      <c r="Q7" s="40">
        <f t="shared" si="3"/>
        <v>4</v>
      </c>
      <c r="R7" s="7"/>
      <c r="S7" s="6">
        <v>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0.83333333333333337</v>
      </c>
      <c r="AD7" s="10">
        <f t="shared" si="6"/>
        <v>0.83333333333333337</v>
      </c>
      <c r="AE7" s="36">
        <f t="shared" si="7"/>
        <v>0.3503787878787879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126000</v>
      </c>
      <c r="J8" s="14">
        <v>11086</v>
      </c>
      <c r="K8" s="15">
        <f>L8+1708+5184+11810+11756+5148</f>
        <v>46692</v>
      </c>
      <c r="L8" s="15">
        <f>2950*2+2593*2</f>
        <v>11086</v>
      </c>
      <c r="M8" s="15">
        <f t="shared" si="0"/>
        <v>11086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0.3503787878787879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197</v>
      </c>
      <c r="D9" s="52"/>
      <c r="E9" s="53" t="s">
        <v>193</v>
      </c>
      <c r="F9" s="30" t="s">
        <v>212</v>
      </c>
      <c r="G9" s="12">
        <v>2</v>
      </c>
      <c r="H9" s="13">
        <v>24</v>
      </c>
      <c r="I9" s="7">
        <v>126000</v>
      </c>
      <c r="J9" s="14">
        <v>9278</v>
      </c>
      <c r="K9" s="15">
        <f>L9+11914+12528+12574+9262+2544</f>
        <v>58100</v>
      </c>
      <c r="L9" s="15">
        <f>3142*2+1497*2</f>
        <v>9278</v>
      </c>
      <c r="M9" s="15">
        <f t="shared" si="0"/>
        <v>9278</v>
      </c>
      <c r="N9" s="15">
        <v>0</v>
      </c>
      <c r="O9" s="58">
        <f t="shared" si="1"/>
        <v>0</v>
      </c>
      <c r="P9" s="39">
        <f t="shared" si="2"/>
        <v>19</v>
      </c>
      <c r="Q9" s="40">
        <f t="shared" si="3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6">
        <f t="shared" si="7"/>
        <v>0.3503787878787879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126000</v>
      </c>
      <c r="J10" s="14">
        <v>11176</v>
      </c>
      <c r="K10" s="15">
        <f>L10+11830+12840+12918+12834+5574</f>
        <v>67172</v>
      </c>
      <c r="L10" s="15">
        <f>3238*2+2350*2</f>
        <v>11176</v>
      </c>
      <c r="M10" s="15">
        <f t="shared" si="0"/>
        <v>11176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0.3503787878787879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116</v>
      </c>
      <c r="D11" s="52" t="s">
        <v>202</v>
      </c>
      <c r="E11" s="53" t="s">
        <v>195</v>
      </c>
      <c r="F11" s="30" t="s">
        <v>126</v>
      </c>
      <c r="G11" s="33">
        <v>2</v>
      </c>
      <c r="H11" s="35">
        <v>24</v>
      </c>
      <c r="I11" s="7">
        <v>3000</v>
      </c>
      <c r="J11" s="14">
        <v>4302</v>
      </c>
      <c r="K11" s="15">
        <f>L11+7296+11888+11914+11884+4302</f>
        <v>47284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0.3503787878787879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271</v>
      </c>
      <c r="F12" s="30" t="s">
        <v>278</v>
      </c>
      <c r="G12" s="12">
        <v>1</v>
      </c>
      <c r="H12" s="13">
        <v>22</v>
      </c>
      <c r="I12" s="31">
        <v>10000</v>
      </c>
      <c r="J12" s="5">
        <v>3842</v>
      </c>
      <c r="K12" s="15">
        <f>L12+1982</f>
        <v>5824</v>
      </c>
      <c r="L12" s="15">
        <f>2192+1650</f>
        <v>3842</v>
      </c>
      <c r="M12" s="15">
        <f t="shared" si="0"/>
        <v>3842</v>
      </c>
      <c r="N12" s="15">
        <v>0</v>
      </c>
      <c r="O12" s="58">
        <f t="shared" si="1"/>
        <v>0</v>
      </c>
      <c r="P12" s="39">
        <f t="shared" si="2"/>
        <v>19</v>
      </c>
      <c r="Q12" s="40">
        <f t="shared" si="3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0.79166666666666663</v>
      </c>
      <c r="AD12" s="10">
        <f t="shared" si="6"/>
        <v>0.79166666666666663</v>
      </c>
      <c r="AE12" s="36">
        <f t="shared" si="7"/>
        <v>0.3503787878787879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202</v>
      </c>
      <c r="E13" s="53" t="s">
        <v>237</v>
      </c>
      <c r="F13" s="30" t="s">
        <v>126</v>
      </c>
      <c r="G13" s="33">
        <v>4</v>
      </c>
      <c r="H13" s="35">
        <v>22</v>
      </c>
      <c r="I13" s="7">
        <v>150000</v>
      </c>
      <c r="J13" s="14">
        <v>25404</v>
      </c>
      <c r="K13" s="15">
        <f>L13+16648+26288+26040+10860</f>
        <v>105240</v>
      </c>
      <c r="L13" s="15">
        <f>3318*4+3033*4</f>
        <v>25404</v>
      </c>
      <c r="M13" s="15">
        <f t="shared" si="0"/>
        <v>25404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0.3503787878787879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290</v>
      </c>
      <c r="F14" s="30" t="s">
        <v>230</v>
      </c>
      <c r="G14" s="33">
        <v>1</v>
      </c>
      <c r="H14" s="35">
        <v>50</v>
      </c>
      <c r="I14" s="7">
        <v>500</v>
      </c>
      <c r="J14" s="5">
        <v>610</v>
      </c>
      <c r="K14" s="15">
        <f>L14</f>
        <v>610</v>
      </c>
      <c r="L14" s="15">
        <v>610</v>
      </c>
      <c r="M14" s="15">
        <f t="shared" si="0"/>
        <v>610</v>
      </c>
      <c r="N14" s="15">
        <v>0</v>
      </c>
      <c r="O14" s="58">
        <f t="shared" si="1"/>
        <v>0</v>
      </c>
      <c r="P14" s="39">
        <f t="shared" si="2"/>
        <v>10</v>
      </c>
      <c r="Q14" s="40">
        <f t="shared" si="3"/>
        <v>14</v>
      </c>
      <c r="R14" s="7"/>
      <c r="S14" s="6"/>
      <c r="T14" s="16"/>
      <c r="U14" s="16"/>
      <c r="V14" s="17"/>
      <c r="W14" s="5">
        <v>14</v>
      </c>
      <c r="X14" s="16"/>
      <c r="Y14" s="16"/>
      <c r="Z14" s="16"/>
      <c r="AA14" s="18"/>
      <c r="AB14" s="8">
        <f t="shared" si="4"/>
        <v>1</v>
      </c>
      <c r="AC14" s="9">
        <f t="shared" si="5"/>
        <v>0.41666666666666669</v>
      </c>
      <c r="AD14" s="10">
        <f t="shared" si="6"/>
        <v>0.41666666666666669</v>
      </c>
      <c r="AE14" s="36">
        <f t="shared" si="7"/>
        <v>0.3503787878787879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0.3503787878787879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134</v>
      </c>
      <c r="D16" s="52" t="s">
        <v>173</v>
      </c>
      <c r="E16" s="53" t="s">
        <v>174</v>
      </c>
      <c r="F16" s="30" t="s">
        <v>135</v>
      </c>
      <c r="G16" s="12">
        <v>1</v>
      </c>
      <c r="H16" s="13">
        <v>24</v>
      </c>
      <c r="I16" s="7">
        <v>1100</v>
      </c>
      <c r="J16" s="14">
        <v>1142</v>
      </c>
      <c r="K16" s="15">
        <f>L16+1142</f>
        <v>1142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0.3503787878787879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28200</v>
      </c>
      <c r="K17" s="15">
        <f>L17+26370+39325+19755+18405+40885+18620+38310+41130+40940+28200</f>
        <v>311940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0.3503787878787879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197</v>
      </c>
      <c r="D18" s="52"/>
      <c r="E18" s="53" t="s">
        <v>283</v>
      </c>
      <c r="F18" s="30" t="s">
        <v>212</v>
      </c>
      <c r="G18" s="33">
        <v>1</v>
      </c>
      <c r="H18" s="35">
        <v>24</v>
      </c>
      <c r="I18" s="7">
        <v>500</v>
      </c>
      <c r="J18" s="14">
        <v>1611</v>
      </c>
      <c r="K18" s="15">
        <f>L18</f>
        <v>1611</v>
      </c>
      <c r="L18" s="15">
        <v>1611</v>
      </c>
      <c r="M18" s="15">
        <f t="shared" si="0"/>
        <v>1611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/>
      <c r="T18" s="16"/>
      <c r="U18" s="16"/>
      <c r="V18" s="17"/>
      <c r="W18" s="5">
        <v>18</v>
      </c>
      <c r="X18" s="16"/>
      <c r="Y18" s="16"/>
      <c r="Z18" s="16"/>
      <c r="AA18" s="18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6">
        <f t="shared" si="7"/>
        <v>0.3503787878787879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196</v>
      </c>
      <c r="F19" s="30" t="s">
        <v>127</v>
      </c>
      <c r="G19" s="33">
        <v>1</v>
      </c>
      <c r="H19" s="35">
        <v>24</v>
      </c>
      <c r="I19" s="7">
        <v>20000</v>
      </c>
      <c r="J19" s="14">
        <v>1170</v>
      </c>
      <c r="K19" s="15">
        <f>L19+5252+4771+4224+1170</f>
        <v>15417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0.3503787878787879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133</v>
      </c>
      <c r="E20" s="53" t="s">
        <v>221</v>
      </c>
      <c r="F20" s="30" t="s">
        <v>127</v>
      </c>
      <c r="G20" s="12">
        <v>2</v>
      </c>
      <c r="H20" s="13">
        <v>24</v>
      </c>
      <c r="I20" s="7">
        <v>150000</v>
      </c>
      <c r="J20" s="14">
        <v>13958</v>
      </c>
      <c r="K20" s="15">
        <f>L20+20020+14558+6956+4260</f>
        <v>59752</v>
      </c>
      <c r="L20" s="15">
        <f>781*4+2380*4+200*3+357*2</f>
        <v>13958</v>
      </c>
      <c r="M20" s="15">
        <f t="shared" si="0"/>
        <v>13958</v>
      </c>
      <c r="N20" s="15">
        <v>0</v>
      </c>
      <c r="O20" s="58">
        <f t="shared" si="1"/>
        <v>0</v>
      </c>
      <c r="P20" s="39">
        <f t="shared" si="2"/>
        <v>17</v>
      </c>
      <c r="Q20" s="40">
        <f t="shared" si="3"/>
        <v>7</v>
      </c>
      <c r="R20" s="7"/>
      <c r="S20" s="6">
        <v>7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0.70833333333333337</v>
      </c>
      <c r="AD20" s="10">
        <f t="shared" si="6"/>
        <v>0.70833333333333337</v>
      </c>
      <c r="AE20" s="36">
        <f t="shared" si="7"/>
        <v>0.3503787878787879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54396</v>
      </c>
      <c r="K21" s="15">
        <f>L21+50740+61508+62116+62068+58848+54656+61696+61724+33064+28160</f>
        <v>588976</v>
      </c>
      <c r="L21" s="15">
        <f>5875*4+7724*4</f>
        <v>54396</v>
      </c>
      <c r="M21" s="15">
        <f t="shared" si="0"/>
        <v>54396</v>
      </c>
      <c r="N21" s="15">
        <v>0</v>
      </c>
      <c r="O21" s="58">
        <f t="shared" si="1"/>
        <v>0</v>
      </c>
      <c r="P21" s="39">
        <f t="shared" si="2"/>
        <v>22</v>
      </c>
      <c r="Q21" s="40">
        <f t="shared" si="3"/>
        <v>2</v>
      </c>
      <c r="R21" s="7"/>
      <c r="S21" s="6"/>
      <c r="T21" s="16"/>
      <c r="U21" s="16"/>
      <c r="V21" s="17">
        <v>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0.91666666666666663</v>
      </c>
      <c r="AD21" s="10">
        <f t="shared" si="6"/>
        <v>0.91666666666666663</v>
      </c>
      <c r="AE21" s="36">
        <f t="shared" si="7"/>
        <v>0.3503787878787879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0.3503787878787879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0.3503787878787879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0.3503787878787879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0.3503787878787879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0.3503787878787879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151</v>
      </c>
      <c r="F27" s="12" t="s">
        <v>152</v>
      </c>
      <c r="G27" s="12">
        <v>32</v>
      </c>
      <c r="H27" s="35">
        <v>20</v>
      </c>
      <c r="I27" s="7">
        <v>1300000</v>
      </c>
      <c r="J27" s="14">
        <v>199470</v>
      </c>
      <c r="K27" s="15">
        <f>L27+356070+486150+492600+465600+199470</f>
        <v>1999890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15</v>
      </c>
      <c r="R27" s="7"/>
      <c r="S27" s="6"/>
      <c r="T27" s="16"/>
      <c r="U27" s="16"/>
      <c r="V27" s="120"/>
      <c r="W27" s="5">
        <v>15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0.3503787878787879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4073100</v>
      </c>
      <c r="J28" s="19">
        <f t="shared" si="9"/>
        <v>429287</v>
      </c>
      <c r="K28" s="20">
        <f t="shared" si="9"/>
        <v>4200441</v>
      </c>
      <c r="L28" s="21">
        <f t="shared" si="9"/>
        <v>139751</v>
      </c>
      <c r="M28" s="20">
        <f t="shared" si="9"/>
        <v>139751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185</v>
      </c>
      <c r="Q28" s="43">
        <f t="shared" si="10"/>
        <v>334</v>
      </c>
      <c r="R28" s="23">
        <f t="shared" si="10"/>
        <v>0</v>
      </c>
      <c r="S28" s="24">
        <f t="shared" si="10"/>
        <v>45</v>
      </c>
      <c r="T28" s="24">
        <f t="shared" si="10"/>
        <v>0</v>
      </c>
      <c r="U28" s="24">
        <f t="shared" si="10"/>
        <v>0</v>
      </c>
      <c r="V28" s="25">
        <f t="shared" si="10"/>
        <v>2</v>
      </c>
      <c r="W28" s="26">
        <f t="shared" si="10"/>
        <v>239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48</v>
      </c>
      <c r="AB28" s="28">
        <f>AVERAGE(AB6:AB27)</f>
        <v>0.5</v>
      </c>
      <c r="AC28" s="4">
        <f>AVERAGE(AC6:AC27)</f>
        <v>0.3503787878787879</v>
      </c>
      <c r="AD28" s="4">
        <f>AVERAGE(AD6:AD27)</f>
        <v>0.3503787878787879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291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293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210" t="s">
        <v>46</v>
      </c>
      <c r="D57" s="210" t="s">
        <v>47</v>
      </c>
      <c r="E57" s="210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210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206" t="s">
        <v>220</v>
      </c>
      <c r="D58" s="206" t="s">
        <v>133</v>
      </c>
      <c r="E58" s="206" t="s">
        <v>221</v>
      </c>
      <c r="F58" s="504" t="s">
        <v>280</v>
      </c>
      <c r="G58" s="505"/>
      <c r="H58" s="505"/>
      <c r="I58" s="505"/>
      <c r="J58" s="505"/>
      <c r="K58" s="505"/>
      <c r="L58" s="505"/>
      <c r="M58" s="506"/>
      <c r="N58" s="209" t="s">
        <v>112</v>
      </c>
      <c r="O58" s="203" t="s">
        <v>220</v>
      </c>
      <c r="P58" s="518" t="s">
        <v>133</v>
      </c>
      <c r="Q58" s="519"/>
      <c r="R58" s="518" t="s">
        <v>221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116</v>
      </c>
      <c r="B59" s="507"/>
      <c r="C59" s="206" t="s">
        <v>219</v>
      </c>
      <c r="D59" s="206" t="s">
        <v>115</v>
      </c>
      <c r="E59" s="206" t="s">
        <v>271</v>
      </c>
      <c r="F59" s="504" t="s">
        <v>292</v>
      </c>
      <c r="G59" s="505"/>
      <c r="H59" s="505"/>
      <c r="I59" s="505"/>
      <c r="J59" s="505"/>
      <c r="K59" s="505"/>
      <c r="L59" s="505"/>
      <c r="M59" s="506"/>
      <c r="N59" s="209" t="s">
        <v>112</v>
      </c>
      <c r="O59" s="203" t="s">
        <v>190</v>
      </c>
      <c r="P59" s="518" t="s">
        <v>133</v>
      </c>
      <c r="Q59" s="519"/>
      <c r="R59" s="518" t="s">
        <v>196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197</v>
      </c>
      <c r="B60" s="507"/>
      <c r="C60" s="206" t="s">
        <v>148</v>
      </c>
      <c r="D60" s="206"/>
      <c r="E60" s="206" t="s">
        <v>283</v>
      </c>
      <c r="F60" s="504" t="s">
        <v>123</v>
      </c>
      <c r="G60" s="505"/>
      <c r="H60" s="505"/>
      <c r="I60" s="505"/>
      <c r="J60" s="505"/>
      <c r="K60" s="505"/>
      <c r="L60" s="505"/>
      <c r="M60" s="506"/>
      <c r="N60" s="209" t="s">
        <v>158</v>
      </c>
      <c r="O60" s="203" t="s">
        <v>223</v>
      </c>
      <c r="P60" s="518" t="s">
        <v>166</v>
      </c>
      <c r="Q60" s="519"/>
      <c r="R60" s="518" t="s">
        <v>294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134</v>
      </c>
      <c r="B61" s="507"/>
      <c r="C61" s="206" t="s">
        <v>156</v>
      </c>
      <c r="D61" s="206" t="s">
        <v>137</v>
      </c>
      <c r="E61" s="206" t="s">
        <v>160</v>
      </c>
      <c r="F61" s="504" t="s">
        <v>284</v>
      </c>
      <c r="G61" s="505"/>
      <c r="H61" s="505"/>
      <c r="I61" s="505"/>
      <c r="J61" s="505"/>
      <c r="K61" s="505"/>
      <c r="L61" s="505"/>
      <c r="M61" s="506"/>
      <c r="N61" s="209"/>
      <c r="O61" s="203"/>
      <c r="P61" s="518"/>
      <c r="Q61" s="519"/>
      <c r="R61" s="518"/>
      <c r="S61" s="520"/>
      <c r="T61" s="520"/>
      <c r="U61" s="519"/>
      <c r="V61" s="504"/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197</v>
      </c>
      <c r="B62" s="507"/>
      <c r="C62" s="206" t="s">
        <v>199</v>
      </c>
      <c r="D62" s="206"/>
      <c r="E62" s="206" t="s">
        <v>193</v>
      </c>
      <c r="F62" s="504" t="s">
        <v>217</v>
      </c>
      <c r="G62" s="505"/>
      <c r="H62" s="505"/>
      <c r="I62" s="505"/>
      <c r="J62" s="505"/>
      <c r="K62" s="505"/>
      <c r="L62" s="505"/>
      <c r="M62" s="506"/>
      <c r="N62" s="209"/>
      <c r="O62" s="203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 t="s">
        <v>158</v>
      </c>
      <c r="B63" s="507"/>
      <c r="C63" s="206" t="s">
        <v>223</v>
      </c>
      <c r="D63" s="206" t="s">
        <v>115</v>
      </c>
      <c r="E63" s="206" t="s">
        <v>290</v>
      </c>
      <c r="F63" s="504" t="s">
        <v>123</v>
      </c>
      <c r="G63" s="505"/>
      <c r="H63" s="505"/>
      <c r="I63" s="505"/>
      <c r="J63" s="505"/>
      <c r="K63" s="505"/>
      <c r="L63" s="505"/>
      <c r="M63" s="506"/>
      <c r="N63" s="209"/>
      <c r="O63" s="203"/>
      <c r="P63" s="518"/>
      <c r="Q63" s="519"/>
      <c r="R63" s="518"/>
      <c r="S63" s="520"/>
      <c r="T63" s="520"/>
      <c r="U63" s="519"/>
      <c r="V63" s="491"/>
      <c r="W63" s="491"/>
      <c r="X63" s="491"/>
      <c r="Y63" s="491"/>
      <c r="Z63" s="491"/>
      <c r="AA63" s="491"/>
      <c r="AB63" s="491"/>
      <c r="AC63" s="491"/>
      <c r="AD63" s="508"/>
    </row>
    <row r="64" spans="1:32" ht="27" customHeight="1">
      <c r="A64" s="517"/>
      <c r="B64" s="507"/>
      <c r="C64" s="206"/>
      <c r="D64" s="206"/>
      <c r="E64" s="206"/>
      <c r="F64" s="504"/>
      <c r="G64" s="505"/>
      <c r="H64" s="505"/>
      <c r="I64" s="505"/>
      <c r="J64" s="505"/>
      <c r="K64" s="505"/>
      <c r="L64" s="505"/>
      <c r="M64" s="506"/>
      <c r="N64" s="209"/>
      <c r="O64" s="203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205"/>
      <c r="D65" s="205"/>
      <c r="E65" s="206"/>
      <c r="F65" s="504"/>
      <c r="G65" s="505"/>
      <c r="H65" s="505"/>
      <c r="I65" s="505"/>
      <c r="J65" s="505"/>
      <c r="K65" s="505"/>
      <c r="L65" s="505"/>
      <c r="M65" s="506"/>
      <c r="N65" s="209"/>
      <c r="O65" s="203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205"/>
      <c r="D66" s="205"/>
      <c r="E66" s="206"/>
      <c r="F66" s="504"/>
      <c r="G66" s="505"/>
      <c r="H66" s="505"/>
      <c r="I66" s="505"/>
      <c r="J66" s="505"/>
      <c r="K66" s="505"/>
      <c r="L66" s="505"/>
      <c r="M66" s="506"/>
      <c r="N66" s="209"/>
      <c r="O66" s="203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207"/>
      <c r="D67" s="208"/>
      <c r="E67" s="207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295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204" t="s">
        <v>2</v>
      </c>
      <c r="D69" s="204" t="s">
        <v>37</v>
      </c>
      <c r="E69" s="204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204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116</v>
      </c>
      <c r="D70" s="199"/>
      <c r="E70" s="202" t="s">
        <v>229</v>
      </c>
      <c r="F70" s="488" t="s">
        <v>228</v>
      </c>
      <c r="G70" s="478"/>
      <c r="H70" s="478"/>
      <c r="I70" s="478"/>
      <c r="J70" s="478"/>
      <c r="K70" s="478" t="s">
        <v>230</v>
      </c>
      <c r="L70" s="478"/>
      <c r="M70" s="51" t="s">
        <v>155</v>
      </c>
      <c r="N70" s="489" t="s">
        <v>231</v>
      </c>
      <c r="O70" s="489"/>
      <c r="P70" s="490">
        <v>50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134</v>
      </c>
      <c r="D71" s="199"/>
      <c r="E71" s="202" t="s">
        <v>137</v>
      </c>
      <c r="F71" s="492" t="s">
        <v>160</v>
      </c>
      <c r="G71" s="493"/>
      <c r="H71" s="493"/>
      <c r="I71" s="493"/>
      <c r="J71" s="494"/>
      <c r="K71" s="478" t="s">
        <v>161</v>
      </c>
      <c r="L71" s="478"/>
      <c r="M71" s="51" t="s">
        <v>296</v>
      </c>
      <c r="N71" s="489" t="s">
        <v>156</v>
      </c>
      <c r="O71" s="489"/>
      <c r="P71" s="490">
        <v>100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/>
      <c r="D72" s="199"/>
      <c r="E72" s="202"/>
      <c r="F72" s="492"/>
      <c r="G72" s="493"/>
      <c r="H72" s="493"/>
      <c r="I72" s="493"/>
      <c r="J72" s="494"/>
      <c r="K72" s="478"/>
      <c r="L72" s="478"/>
      <c r="M72" s="51"/>
      <c r="N72" s="489"/>
      <c r="O72" s="489"/>
      <c r="P72" s="490"/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199"/>
      <c r="E73" s="202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199"/>
      <c r="E74" s="202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199"/>
      <c r="E75" s="202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199"/>
      <c r="E76" s="202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199"/>
      <c r="E77" s="202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199"/>
      <c r="E78" s="202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199"/>
      <c r="E79" s="202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297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201" t="s">
        <v>2</v>
      </c>
      <c r="D81" s="201" t="s">
        <v>37</v>
      </c>
      <c r="E81" s="201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200"/>
      <c r="D82" s="200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199"/>
      <c r="D83" s="199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199"/>
      <c r="D84" s="199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199"/>
      <c r="D85" s="199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199"/>
      <c r="D86" s="199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199"/>
      <c r="D87" s="199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199"/>
      <c r="D88" s="199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298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>
        <v>9</v>
      </c>
      <c r="D91" s="454"/>
      <c r="E91" s="454" t="s">
        <v>124</v>
      </c>
      <c r="F91" s="454"/>
      <c r="G91" s="454"/>
      <c r="H91" s="454"/>
      <c r="I91" s="454"/>
      <c r="J91" s="454"/>
      <c r="K91" s="454" t="s">
        <v>129</v>
      </c>
      <c r="L91" s="454"/>
      <c r="M91" s="454"/>
      <c r="N91" s="454"/>
      <c r="O91" s="454"/>
      <c r="P91" s="454"/>
      <c r="Q91" s="454"/>
      <c r="R91" s="454"/>
      <c r="S91" s="454"/>
      <c r="T91" s="454" t="s">
        <v>125</v>
      </c>
      <c r="U91" s="454"/>
      <c r="V91" s="455">
        <v>1900000</v>
      </c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5E21-A992-4FDC-9B31-AF8CAF51BD55}">
  <sheetPr>
    <pageSetUpPr fitToPage="1"/>
  </sheetPr>
  <dimension ref="A1:AF93"/>
  <sheetViews>
    <sheetView view="pageBreakPreview" zoomScale="70" zoomScaleNormal="72" zoomScaleSheetLayoutView="70" workbookViewId="0">
      <selection activeCell="K85" sqref="K85:S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299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211" t="s">
        <v>17</v>
      </c>
      <c r="L5" s="211" t="s">
        <v>18</v>
      </c>
      <c r="M5" s="211" t="s">
        <v>19</v>
      </c>
      <c r="N5" s="21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226</v>
      </c>
      <c r="D6" s="52" t="s">
        <v>225</v>
      </c>
      <c r="E6" s="53"/>
      <c r="F6" s="30" t="s">
        <v>211</v>
      </c>
      <c r="G6" s="12">
        <v>1</v>
      </c>
      <c r="H6" s="13">
        <v>24</v>
      </c>
      <c r="I6" s="31">
        <v>3200</v>
      </c>
      <c r="J6" s="14">
        <v>3699</v>
      </c>
      <c r="K6" s="15">
        <f>L6</f>
        <v>3699</v>
      </c>
      <c r="L6" s="15">
        <f>2399+1300</f>
        <v>3699</v>
      </c>
      <c r="M6" s="15">
        <f t="shared" ref="M6:M27" si="0">L6-N6</f>
        <v>3699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18</v>
      </c>
      <c r="Q6" s="40">
        <f t="shared" ref="Q6:Q27" si="3">SUM(R6:AA6)</f>
        <v>6</v>
      </c>
      <c r="R6" s="7"/>
      <c r="S6" s="6">
        <v>6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0.75</v>
      </c>
      <c r="AD6" s="10">
        <f t="shared" ref="AD6:AD27" si="6">AC6*AB6*(1-O6)</f>
        <v>0.75</v>
      </c>
      <c r="AE6" s="36">
        <f t="shared" ref="AE6:AE27" si="7">$AD$28</f>
        <v>0.4375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12796</v>
      </c>
      <c r="K7" s="15">
        <f>L7+4540+5413+4776+3810+3773+2780+4786+5910+5528+3614+7707+9828+3822+6888+11032+9113+10064+12756+9446+2965+8390</f>
        <v>149737</v>
      </c>
      <c r="L7" s="15">
        <f>3220*2+3178*2</f>
        <v>12796</v>
      </c>
      <c r="M7" s="15">
        <f t="shared" si="0"/>
        <v>12796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0.4375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126000</v>
      </c>
      <c r="J8" s="14">
        <v>11698</v>
      </c>
      <c r="K8" s="15">
        <f>L8+1708+5184+11810+11756+5148+11086</f>
        <v>58390</v>
      </c>
      <c r="L8" s="15">
        <f>2940*2+2909*2</f>
        <v>11698</v>
      </c>
      <c r="M8" s="15">
        <f t="shared" si="0"/>
        <v>11698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0.4375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197</v>
      </c>
      <c r="D9" s="52"/>
      <c r="E9" s="53" t="s">
        <v>193</v>
      </c>
      <c r="F9" s="30" t="s">
        <v>212</v>
      </c>
      <c r="G9" s="12">
        <v>2</v>
      </c>
      <c r="H9" s="13">
        <v>24</v>
      </c>
      <c r="I9" s="7">
        <v>126000</v>
      </c>
      <c r="J9" s="14">
        <v>12614</v>
      </c>
      <c r="K9" s="15">
        <f>L9+11914+12528+12574+9262+2544+9278</f>
        <v>70714</v>
      </c>
      <c r="L9" s="15">
        <f>3186*2+3121*2</f>
        <v>12614</v>
      </c>
      <c r="M9" s="15">
        <f t="shared" si="0"/>
        <v>12614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0.4375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126000</v>
      </c>
      <c r="J10" s="14">
        <v>13572</v>
      </c>
      <c r="K10" s="15">
        <f>L10+11830+12840+12918+12834+5574+11176</f>
        <v>80744</v>
      </c>
      <c r="L10" s="15">
        <f>3279*2+307*2+3200*2</f>
        <v>13572</v>
      </c>
      <c r="M10" s="15">
        <f t="shared" si="0"/>
        <v>13572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0.4375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300</v>
      </c>
      <c r="E11" s="53" t="s">
        <v>301</v>
      </c>
      <c r="F11" s="30" t="s">
        <v>136</v>
      </c>
      <c r="G11" s="33">
        <v>2</v>
      </c>
      <c r="H11" s="35">
        <v>24</v>
      </c>
      <c r="I11" s="7">
        <f>3200*4</f>
        <v>12800</v>
      </c>
      <c r="J11" s="14">
        <v>7988</v>
      </c>
      <c r="K11" s="15">
        <f>L11</f>
        <v>7988</v>
      </c>
      <c r="L11" s="15">
        <f>467*2+3527*2</f>
        <v>7988</v>
      </c>
      <c r="M11" s="15">
        <f t="shared" si="0"/>
        <v>7988</v>
      </c>
      <c r="N11" s="15">
        <v>0</v>
      </c>
      <c r="O11" s="58">
        <f t="shared" si="1"/>
        <v>0</v>
      </c>
      <c r="P11" s="39">
        <f t="shared" si="2"/>
        <v>18</v>
      </c>
      <c r="Q11" s="40">
        <f t="shared" si="3"/>
        <v>6</v>
      </c>
      <c r="R11" s="7"/>
      <c r="S11" s="6"/>
      <c r="T11" s="16">
        <v>6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0.75</v>
      </c>
      <c r="AD11" s="10">
        <f t="shared" si="6"/>
        <v>0.75</v>
      </c>
      <c r="AE11" s="36">
        <f t="shared" si="7"/>
        <v>0.4375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271</v>
      </c>
      <c r="F12" s="30" t="s">
        <v>278</v>
      </c>
      <c r="G12" s="12">
        <v>1</v>
      </c>
      <c r="H12" s="13">
        <v>22</v>
      </c>
      <c r="I12" s="31">
        <v>10000</v>
      </c>
      <c r="J12" s="5">
        <v>4425</v>
      </c>
      <c r="K12" s="15">
        <f>L12+1982+3842</f>
        <v>10249</v>
      </c>
      <c r="L12" s="15">
        <f>2627+1798</f>
        <v>4425</v>
      </c>
      <c r="M12" s="15">
        <f t="shared" si="0"/>
        <v>4425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6">
        <f t="shared" si="7"/>
        <v>0.4375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202</v>
      </c>
      <c r="E13" s="53" t="s">
        <v>237</v>
      </c>
      <c r="F13" s="30" t="s">
        <v>126</v>
      </c>
      <c r="G13" s="33">
        <v>4</v>
      </c>
      <c r="H13" s="35">
        <v>22</v>
      </c>
      <c r="I13" s="7">
        <v>150000</v>
      </c>
      <c r="J13" s="14">
        <v>20780</v>
      </c>
      <c r="K13" s="15">
        <f>L13+16648+26288+26040+10860+25404</f>
        <v>126020</v>
      </c>
      <c r="L13" s="15">
        <f>3264*4+1931*4</f>
        <v>20780</v>
      </c>
      <c r="M13" s="15">
        <f t="shared" si="0"/>
        <v>20780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6">
        <f t="shared" si="7"/>
        <v>0.4375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302</v>
      </c>
      <c r="F14" s="30" t="s">
        <v>149</v>
      </c>
      <c r="G14" s="33">
        <v>1</v>
      </c>
      <c r="H14" s="35">
        <v>30</v>
      </c>
      <c r="I14" s="7">
        <v>100</v>
      </c>
      <c r="J14" s="5">
        <v>100</v>
      </c>
      <c r="K14" s="15">
        <f>L14</f>
        <v>100</v>
      </c>
      <c r="L14" s="15">
        <f>100</f>
        <v>100</v>
      </c>
      <c r="M14" s="15">
        <f t="shared" si="0"/>
        <v>100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20</v>
      </c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6">
        <f t="shared" si="7"/>
        <v>0.4375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0.4375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134</v>
      </c>
      <c r="D16" s="52" t="s">
        <v>173</v>
      </c>
      <c r="E16" s="53" t="s">
        <v>174</v>
      </c>
      <c r="F16" s="30" t="s">
        <v>135</v>
      </c>
      <c r="G16" s="12">
        <v>1</v>
      </c>
      <c r="H16" s="13">
        <v>24</v>
      </c>
      <c r="I16" s="7">
        <v>1100</v>
      </c>
      <c r="J16" s="14">
        <v>1142</v>
      </c>
      <c r="K16" s="15">
        <f>L16+1142</f>
        <v>1142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0.4375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28200</v>
      </c>
      <c r="K17" s="15">
        <f>L17+26370+39325+19755+18405+40885+18620+38310+41130+40940+28200</f>
        <v>311940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0.4375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197</v>
      </c>
      <c r="D18" s="52"/>
      <c r="E18" s="53" t="s">
        <v>283</v>
      </c>
      <c r="F18" s="30" t="s">
        <v>212</v>
      </c>
      <c r="G18" s="33">
        <v>1</v>
      </c>
      <c r="H18" s="35">
        <v>24</v>
      </c>
      <c r="I18" s="7">
        <v>500</v>
      </c>
      <c r="J18" s="14">
        <v>1611</v>
      </c>
      <c r="K18" s="15">
        <f>L18+1611</f>
        <v>1611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0.4375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196</v>
      </c>
      <c r="F19" s="30" t="s">
        <v>127</v>
      </c>
      <c r="G19" s="33">
        <v>1</v>
      </c>
      <c r="H19" s="35">
        <v>24</v>
      </c>
      <c r="I19" s="7">
        <v>20000</v>
      </c>
      <c r="J19" s="14">
        <v>4596</v>
      </c>
      <c r="K19" s="15">
        <f>L19+5252+4771+4224+1170</f>
        <v>20013</v>
      </c>
      <c r="L19" s="15">
        <f>1707+2889</f>
        <v>4596</v>
      </c>
      <c r="M19" s="15">
        <f t="shared" si="0"/>
        <v>4596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0.875</v>
      </c>
      <c r="AD19" s="10">
        <f t="shared" si="6"/>
        <v>0.875</v>
      </c>
      <c r="AE19" s="36">
        <f t="shared" si="7"/>
        <v>0.4375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133</v>
      </c>
      <c r="E20" s="53" t="s">
        <v>221</v>
      </c>
      <c r="F20" s="30" t="s">
        <v>127</v>
      </c>
      <c r="G20" s="12">
        <v>2</v>
      </c>
      <c r="H20" s="13">
        <v>24</v>
      </c>
      <c r="I20" s="7">
        <v>150000</v>
      </c>
      <c r="J20" s="14">
        <v>8440</v>
      </c>
      <c r="K20" s="15">
        <f>L20+20020+14558+6956+4260+13958</f>
        <v>68192</v>
      </c>
      <c r="L20" s="15">
        <f>1759*4+250*3+117*2+210*2</f>
        <v>8440</v>
      </c>
      <c r="M20" s="15">
        <f t="shared" si="0"/>
        <v>8440</v>
      </c>
      <c r="N20" s="15">
        <v>0</v>
      </c>
      <c r="O20" s="58">
        <f t="shared" si="1"/>
        <v>0</v>
      </c>
      <c r="P20" s="39">
        <f t="shared" si="2"/>
        <v>9</v>
      </c>
      <c r="Q20" s="40">
        <f t="shared" si="3"/>
        <v>15</v>
      </c>
      <c r="R20" s="7"/>
      <c r="S20" s="6">
        <v>15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0.375</v>
      </c>
      <c r="AD20" s="10">
        <f t="shared" si="6"/>
        <v>0.375</v>
      </c>
      <c r="AE20" s="36">
        <f t="shared" si="7"/>
        <v>0.4375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62000</v>
      </c>
      <c r="K21" s="15">
        <f>L21+50740+61508+62116+62068+58848+54656+61696+61724+33064+28160+54396</f>
        <v>650976</v>
      </c>
      <c r="L21" s="15">
        <f>7845*4+7655*4</f>
        <v>62000</v>
      </c>
      <c r="M21" s="15">
        <f t="shared" si="0"/>
        <v>62000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0.4375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0.4375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0.4375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0.4375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0.4375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0.4375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151</v>
      </c>
      <c r="F27" s="12" t="s">
        <v>152</v>
      </c>
      <c r="G27" s="12">
        <v>32</v>
      </c>
      <c r="H27" s="35">
        <v>20</v>
      </c>
      <c r="I27" s="7">
        <v>1300000</v>
      </c>
      <c r="J27" s="14">
        <v>199470</v>
      </c>
      <c r="K27" s="15">
        <f>L27+356070+486150+492600+465600+199470</f>
        <v>1999890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15</v>
      </c>
      <c r="R27" s="7"/>
      <c r="S27" s="6"/>
      <c r="T27" s="16"/>
      <c r="U27" s="16"/>
      <c r="V27" s="120"/>
      <c r="W27" s="5">
        <v>15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0.4375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4077700</v>
      </c>
      <c r="J28" s="19">
        <f t="shared" si="9"/>
        <v>444263</v>
      </c>
      <c r="K28" s="20">
        <f t="shared" si="9"/>
        <v>4306781</v>
      </c>
      <c r="L28" s="21">
        <f t="shared" si="9"/>
        <v>162708</v>
      </c>
      <c r="M28" s="20">
        <f t="shared" si="9"/>
        <v>162708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231</v>
      </c>
      <c r="Q28" s="43">
        <f t="shared" si="10"/>
        <v>288</v>
      </c>
      <c r="R28" s="23">
        <f t="shared" si="10"/>
        <v>0</v>
      </c>
      <c r="S28" s="24">
        <f t="shared" si="10"/>
        <v>31</v>
      </c>
      <c r="T28" s="24">
        <f t="shared" si="10"/>
        <v>6</v>
      </c>
      <c r="U28" s="24">
        <f t="shared" si="10"/>
        <v>0</v>
      </c>
      <c r="V28" s="25">
        <f t="shared" si="10"/>
        <v>0</v>
      </c>
      <c r="W28" s="26">
        <f t="shared" si="10"/>
        <v>207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44</v>
      </c>
      <c r="AB28" s="28">
        <f>AVERAGE(AB6:AB27)</f>
        <v>0.6</v>
      </c>
      <c r="AC28" s="4">
        <f>AVERAGE(AC6:AC27)</f>
        <v>0.4375</v>
      </c>
      <c r="AD28" s="4">
        <f>AVERAGE(AD6:AD27)</f>
        <v>0.4375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303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320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210" t="s">
        <v>46</v>
      </c>
      <c r="D57" s="210" t="s">
        <v>47</v>
      </c>
      <c r="E57" s="210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210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206" t="s">
        <v>220</v>
      </c>
      <c r="D58" s="206" t="s">
        <v>133</v>
      </c>
      <c r="E58" s="206" t="s">
        <v>221</v>
      </c>
      <c r="F58" s="504" t="s">
        <v>280</v>
      </c>
      <c r="G58" s="505"/>
      <c r="H58" s="505"/>
      <c r="I58" s="505"/>
      <c r="J58" s="505"/>
      <c r="K58" s="505"/>
      <c r="L58" s="505"/>
      <c r="M58" s="506"/>
      <c r="N58" s="209" t="s">
        <v>112</v>
      </c>
      <c r="O58" s="203" t="s">
        <v>220</v>
      </c>
      <c r="P58" s="518" t="s">
        <v>133</v>
      </c>
      <c r="Q58" s="519"/>
      <c r="R58" s="518" t="s">
        <v>221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116</v>
      </c>
      <c r="B59" s="507"/>
      <c r="C59" s="206" t="s">
        <v>219</v>
      </c>
      <c r="D59" s="206" t="s">
        <v>115</v>
      </c>
      <c r="E59" s="206" t="s">
        <v>271</v>
      </c>
      <c r="F59" s="504" t="s">
        <v>304</v>
      </c>
      <c r="G59" s="505"/>
      <c r="H59" s="505"/>
      <c r="I59" s="505"/>
      <c r="J59" s="505"/>
      <c r="K59" s="505"/>
      <c r="L59" s="505"/>
      <c r="M59" s="506"/>
      <c r="N59" s="209" t="s">
        <v>112</v>
      </c>
      <c r="O59" s="203" t="s">
        <v>322</v>
      </c>
      <c r="P59" s="518" t="s">
        <v>323</v>
      </c>
      <c r="Q59" s="519"/>
      <c r="R59" s="518" t="s">
        <v>321</v>
      </c>
      <c r="S59" s="520"/>
      <c r="T59" s="520"/>
      <c r="U59" s="519"/>
      <c r="V59" s="504" t="s">
        <v>307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226</v>
      </c>
      <c r="B60" s="507"/>
      <c r="C60" s="206" t="s">
        <v>186</v>
      </c>
      <c r="D60" s="206"/>
      <c r="E60" s="206" t="s">
        <v>225</v>
      </c>
      <c r="F60" s="504" t="s">
        <v>305</v>
      </c>
      <c r="G60" s="505"/>
      <c r="H60" s="505"/>
      <c r="I60" s="505"/>
      <c r="J60" s="505"/>
      <c r="K60" s="505"/>
      <c r="L60" s="505"/>
      <c r="M60" s="506"/>
      <c r="N60" s="209" t="s">
        <v>325</v>
      </c>
      <c r="O60" s="203" t="s">
        <v>326</v>
      </c>
      <c r="P60" s="518"/>
      <c r="Q60" s="519"/>
      <c r="R60" s="518" t="s">
        <v>324</v>
      </c>
      <c r="S60" s="520"/>
      <c r="T60" s="520"/>
      <c r="U60" s="519"/>
      <c r="V60" s="504" t="s">
        <v>311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112</v>
      </c>
      <c r="B61" s="507"/>
      <c r="C61" s="206" t="s">
        <v>308</v>
      </c>
      <c r="D61" s="206" t="s">
        <v>309</v>
      </c>
      <c r="E61" s="206" t="s">
        <v>306</v>
      </c>
      <c r="F61" s="504" t="s">
        <v>307</v>
      </c>
      <c r="G61" s="505"/>
      <c r="H61" s="505"/>
      <c r="I61" s="505"/>
      <c r="J61" s="505"/>
      <c r="K61" s="505"/>
      <c r="L61" s="505"/>
      <c r="M61" s="506"/>
      <c r="N61" s="209" t="s">
        <v>112</v>
      </c>
      <c r="O61" s="203" t="s">
        <v>308</v>
      </c>
      <c r="P61" s="518" t="s">
        <v>328</v>
      </c>
      <c r="Q61" s="519"/>
      <c r="R61" s="518" t="s">
        <v>327</v>
      </c>
      <c r="S61" s="520"/>
      <c r="T61" s="520"/>
      <c r="U61" s="519"/>
      <c r="V61" s="504" t="s">
        <v>307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112</v>
      </c>
      <c r="B62" s="507"/>
      <c r="C62" s="206" t="s">
        <v>312</v>
      </c>
      <c r="D62" s="206" t="s">
        <v>313</v>
      </c>
      <c r="E62" s="206" t="s">
        <v>310</v>
      </c>
      <c r="F62" s="504" t="s">
        <v>311</v>
      </c>
      <c r="G62" s="505"/>
      <c r="H62" s="505"/>
      <c r="I62" s="505"/>
      <c r="J62" s="505"/>
      <c r="K62" s="505"/>
      <c r="L62" s="505"/>
      <c r="M62" s="506"/>
      <c r="N62" s="209" t="s">
        <v>112</v>
      </c>
      <c r="O62" s="203" t="s">
        <v>331</v>
      </c>
      <c r="P62" s="518" t="s">
        <v>333</v>
      </c>
      <c r="Q62" s="519"/>
      <c r="R62" s="518" t="s">
        <v>329</v>
      </c>
      <c r="S62" s="520"/>
      <c r="T62" s="520"/>
      <c r="U62" s="519"/>
      <c r="V62" s="504" t="s">
        <v>307</v>
      </c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 t="s">
        <v>315</v>
      </c>
      <c r="B63" s="507"/>
      <c r="C63" s="206" t="s">
        <v>316</v>
      </c>
      <c r="D63" s="206" t="s">
        <v>317</v>
      </c>
      <c r="E63" s="206" t="s">
        <v>302</v>
      </c>
      <c r="F63" s="504" t="s">
        <v>314</v>
      </c>
      <c r="G63" s="505"/>
      <c r="H63" s="505"/>
      <c r="I63" s="505"/>
      <c r="J63" s="505"/>
      <c r="K63" s="505"/>
      <c r="L63" s="505"/>
      <c r="M63" s="506"/>
      <c r="N63" s="209" t="s">
        <v>112</v>
      </c>
      <c r="O63" s="203" t="s">
        <v>332</v>
      </c>
      <c r="P63" s="518" t="s">
        <v>334</v>
      </c>
      <c r="Q63" s="519"/>
      <c r="R63" s="518" t="s">
        <v>330</v>
      </c>
      <c r="S63" s="520"/>
      <c r="T63" s="520"/>
      <c r="U63" s="519"/>
      <c r="V63" s="504" t="s">
        <v>307</v>
      </c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 t="s">
        <v>112</v>
      </c>
      <c r="B64" s="507"/>
      <c r="C64" s="206" t="s">
        <v>319</v>
      </c>
      <c r="D64" s="206" t="s">
        <v>133</v>
      </c>
      <c r="E64" s="206" t="s">
        <v>318</v>
      </c>
      <c r="F64" s="504" t="s">
        <v>217</v>
      </c>
      <c r="G64" s="505"/>
      <c r="H64" s="505"/>
      <c r="I64" s="505"/>
      <c r="J64" s="505"/>
      <c r="K64" s="505"/>
      <c r="L64" s="505"/>
      <c r="M64" s="506"/>
      <c r="N64" s="209"/>
      <c r="O64" s="203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205"/>
      <c r="D65" s="205"/>
      <c r="E65" s="206"/>
      <c r="F65" s="504"/>
      <c r="G65" s="505"/>
      <c r="H65" s="505"/>
      <c r="I65" s="505"/>
      <c r="J65" s="505"/>
      <c r="K65" s="505"/>
      <c r="L65" s="505"/>
      <c r="M65" s="506"/>
      <c r="N65" s="209"/>
      <c r="O65" s="203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205"/>
      <c r="D66" s="205"/>
      <c r="E66" s="206"/>
      <c r="F66" s="504"/>
      <c r="G66" s="505"/>
      <c r="H66" s="505"/>
      <c r="I66" s="505"/>
      <c r="J66" s="505"/>
      <c r="K66" s="505"/>
      <c r="L66" s="505"/>
      <c r="M66" s="506"/>
      <c r="N66" s="209"/>
      <c r="O66" s="203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207"/>
      <c r="D67" s="208"/>
      <c r="E67" s="207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335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204" t="s">
        <v>2</v>
      </c>
      <c r="D69" s="204" t="s">
        <v>37</v>
      </c>
      <c r="E69" s="204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204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337</v>
      </c>
      <c r="D70" s="199"/>
      <c r="E70" s="202"/>
      <c r="F70" s="488" t="s">
        <v>336</v>
      </c>
      <c r="G70" s="478"/>
      <c r="H70" s="478"/>
      <c r="I70" s="478"/>
      <c r="J70" s="478"/>
      <c r="K70" s="478" t="s">
        <v>338</v>
      </c>
      <c r="L70" s="478"/>
      <c r="M70" s="51" t="s">
        <v>339</v>
      </c>
      <c r="N70" s="489" t="s">
        <v>322</v>
      </c>
      <c r="O70" s="489"/>
      <c r="P70" s="490">
        <v>100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315</v>
      </c>
      <c r="D71" s="199"/>
      <c r="E71" s="202" t="s">
        <v>317</v>
      </c>
      <c r="F71" s="492" t="s">
        <v>302</v>
      </c>
      <c r="G71" s="493"/>
      <c r="H71" s="493"/>
      <c r="I71" s="493"/>
      <c r="J71" s="494"/>
      <c r="K71" s="478">
        <v>7301</v>
      </c>
      <c r="L71" s="478"/>
      <c r="M71" s="51" t="s">
        <v>339</v>
      </c>
      <c r="N71" s="489" t="s">
        <v>316</v>
      </c>
      <c r="O71" s="489"/>
      <c r="P71" s="490">
        <v>30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 t="s">
        <v>315</v>
      </c>
      <c r="D72" s="199"/>
      <c r="E72" s="202" t="s">
        <v>334</v>
      </c>
      <c r="F72" s="492" t="s">
        <v>340</v>
      </c>
      <c r="G72" s="493"/>
      <c r="H72" s="493"/>
      <c r="I72" s="493"/>
      <c r="J72" s="494"/>
      <c r="K72" s="478">
        <v>7301</v>
      </c>
      <c r="L72" s="478"/>
      <c r="M72" s="51" t="s">
        <v>339</v>
      </c>
      <c r="N72" s="489" t="s">
        <v>316</v>
      </c>
      <c r="O72" s="489"/>
      <c r="P72" s="490">
        <v>30</v>
      </c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 t="s">
        <v>343</v>
      </c>
      <c r="D73" s="199"/>
      <c r="E73" s="202" t="s">
        <v>334</v>
      </c>
      <c r="F73" s="492" t="s">
        <v>341</v>
      </c>
      <c r="G73" s="493"/>
      <c r="H73" s="493"/>
      <c r="I73" s="493"/>
      <c r="J73" s="494"/>
      <c r="K73" s="478" t="s">
        <v>344</v>
      </c>
      <c r="L73" s="478"/>
      <c r="M73" s="51" t="s">
        <v>339</v>
      </c>
      <c r="N73" s="489" t="s">
        <v>332</v>
      </c>
      <c r="O73" s="489"/>
      <c r="P73" s="490">
        <v>50</v>
      </c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 t="s">
        <v>343</v>
      </c>
      <c r="D74" s="199"/>
      <c r="E74" s="202" t="s">
        <v>334</v>
      </c>
      <c r="F74" s="492" t="s">
        <v>342</v>
      </c>
      <c r="G74" s="493"/>
      <c r="H74" s="493"/>
      <c r="I74" s="493"/>
      <c r="J74" s="494"/>
      <c r="K74" s="478" t="s">
        <v>338</v>
      </c>
      <c r="L74" s="478"/>
      <c r="M74" s="51" t="s">
        <v>339</v>
      </c>
      <c r="N74" s="489" t="s">
        <v>332</v>
      </c>
      <c r="O74" s="489"/>
      <c r="P74" s="490">
        <v>200</v>
      </c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199"/>
      <c r="E75" s="202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199"/>
      <c r="E76" s="202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199"/>
      <c r="E77" s="202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199"/>
      <c r="E78" s="202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199"/>
      <c r="E79" s="202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345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201" t="s">
        <v>2</v>
      </c>
      <c r="D81" s="201" t="s">
        <v>37</v>
      </c>
      <c r="E81" s="201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200"/>
      <c r="D82" s="200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199"/>
      <c r="D83" s="199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199"/>
      <c r="D84" s="199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199"/>
      <c r="D85" s="199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199"/>
      <c r="D86" s="199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199"/>
      <c r="D87" s="199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199"/>
      <c r="D88" s="199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346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>
        <v>9</v>
      </c>
      <c r="D91" s="454"/>
      <c r="E91" s="454" t="s">
        <v>124</v>
      </c>
      <c r="F91" s="454"/>
      <c r="G91" s="454"/>
      <c r="H91" s="454"/>
      <c r="I91" s="454"/>
      <c r="J91" s="454"/>
      <c r="K91" s="454" t="s">
        <v>129</v>
      </c>
      <c r="L91" s="454"/>
      <c r="M91" s="454"/>
      <c r="N91" s="454"/>
      <c r="O91" s="454"/>
      <c r="P91" s="454"/>
      <c r="Q91" s="454"/>
      <c r="R91" s="454"/>
      <c r="S91" s="454"/>
      <c r="T91" s="454" t="s">
        <v>125</v>
      </c>
      <c r="U91" s="454"/>
      <c r="V91" s="455">
        <v>1900000</v>
      </c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AF7D-66F8-409B-B157-ED6147CDB563}">
  <sheetPr>
    <pageSetUpPr fitToPage="1"/>
  </sheetPr>
  <dimension ref="A1:AF93"/>
  <sheetViews>
    <sheetView view="pageBreakPreview" zoomScale="70" zoomScaleNormal="72" zoomScaleSheetLayoutView="70" workbookViewId="0">
      <selection activeCell="K74" sqref="K74:L7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347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212" t="s">
        <v>17</v>
      </c>
      <c r="L5" s="212" t="s">
        <v>18</v>
      </c>
      <c r="M5" s="212" t="s">
        <v>19</v>
      </c>
      <c r="N5" s="21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323</v>
      </c>
      <c r="E6" s="53" t="s">
        <v>349</v>
      </c>
      <c r="F6" s="30" t="s">
        <v>211</v>
      </c>
      <c r="G6" s="12">
        <v>1</v>
      </c>
      <c r="H6" s="13">
        <v>24</v>
      </c>
      <c r="I6" s="31">
        <v>6500</v>
      </c>
      <c r="J6" s="14">
        <v>5753</v>
      </c>
      <c r="K6" s="15">
        <f>L6</f>
        <v>5753</v>
      </c>
      <c r="L6" s="15">
        <f>2697+3056</f>
        <v>5753</v>
      </c>
      <c r="M6" s="15">
        <f t="shared" ref="M6:M27" si="0">L6-N6</f>
        <v>5753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 t="shared" ref="AE6:AE27" si="7">$AD$28</f>
        <v>0.57386363636363646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12772</v>
      </c>
      <c r="K7" s="15">
        <f>L7+4540+5413+4776+3810+3773+2780+4786+5910+5528+3614+7707+9828+3822+6888+11032+9113+10064+12756+9446+2965+8390+12796</f>
        <v>162509</v>
      </c>
      <c r="L7" s="15">
        <f>3178*2+3208*2</f>
        <v>12772</v>
      </c>
      <c r="M7" s="15">
        <f t="shared" si="0"/>
        <v>12772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0.57386363636363646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126000</v>
      </c>
      <c r="J8" s="14">
        <v>11644</v>
      </c>
      <c r="K8" s="15">
        <f>L8+1708+5184+11810+11756+5148+11086+11698</f>
        <v>70034</v>
      </c>
      <c r="L8" s="15">
        <f>2932*2+2890*2</f>
        <v>11644</v>
      </c>
      <c r="M8" s="15">
        <f t="shared" si="0"/>
        <v>11644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0.57386363636363646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197</v>
      </c>
      <c r="D9" s="52"/>
      <c r="E9" s="53" t="s">
        <v>193</v>
      </c>
      <c r="F9" s="30" t="s">
        <v>212</v>
      </c>
      <c r="G9" s="12">
        <v>2</v>
      </c>
      <c r="H9" s="13">
        <v>24</v>
      </c>
      <c r="I9" s="7">
        <v>126000</v>
      </c>
      <c r="J9" s="14">
        <v>12560</v>
      </c>
      <c r="K9" s="15">
        <f>L9+11914+12528+12574+9262+2544+9278+12614</f>
        <v>83274</v>
      </c>
      <c r="L9" s="15">
        <f>3166*2+3114*2</f>
        <v>12560</v>
      </c>
      <c r="M9" s="15">
        <f t="shared" si="0"/>
        <v>12560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0.57386363636363646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126000</v>
      </c>
      <c r="J10" s="14">
        <v>8552</v>
      </c>
      <c r="K10" s="15">
        <f>L10+11830+12840+12918+12834+5574+11176+13572</f>
        <v>89296</v>
      </c>
      <c r="L10" s="15">
        <f>3253*2+1023*2</f>
        <v>8552</v>
      </c>
      <c r="M10" s="15">
        <f t="shared" si="0"/>
        <v>8552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0.57386363636363646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300</v>
      </c>
      <c r="E11" s="53" t="s">
        <v>301</v>
      </c>
      <c r="F11" s="30" t="s">
        <v>136</v>
      </c>
      <c r="G11" s="33">
        <v>2</v>
      </c>
      <c r="H11" s="35">
        <v>24</v>
      </c>
      <c r="I11" s="7">
        <f>3200*4</f>
        <v>12800</v>
      </c>
      <c r="J11" s="14">
        <v>5190</v>
      </c>
      <c r="K11" s="15">
        <f>L11+7988</f>
        <v>13178</v>
      </c>
      <c r="L11" s="15">
        <f>2595*2</f>
        <v>5190</v>
      </c>
      <c r="M11" s="15">
        <f t="shared" si="0"/>
        <v>5190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/>
      <c r="S11" s="6"/>
      <c r="T11" s="16"/>
      <c r="U11" s="16"/>
      <c r="V11" s="17"/>
      <c r="W11" s="5">
        <v>14</v>
      </c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6">
        <f t="shared" si="7"/>
        <v>0.57386363636363646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271</v>
      </c>
      <c r="F12" s="30" t="s">
        <v>278</v>
      </c>
      <c r="G12" s="12">
        <v>1</v>
      </c>
      <c r="H12" s="13">
        <v>22</v>
      </c>
      <c r="I12" s="31">
        <v>10000</v>
      </c>
      <c r="J12" s="5">
        <v>5022</v>
      </c>
      <c r="K12" s="15">
        <f>L12+1982+3842+4425</f>
        <v>15271</v>
      </c>
      <c r="L12" s="15">
        <f>2463+2559</f>
        <v>5022</v>
      </c>
      <c r="M12" s="15">
        <f t="shared" si="0"/>
        <v>5022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0.57386363636363646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202</v>
      </c>
      <c r="E13" s="53" t="s">
        <v>237</v>
      </c>
      <c r="F13" s="30" t="s">
        <v>126</v>
      </c>
      <c r="G13" s="33">
        <v>4</v>
      </c>
      <c r="H13" s="35">
        <v>22</v>
      </c>
      <c r="I13" s="7">
        <v>150000</v>
      </c>
      <c r="J13" s="14">
        <v>26076</v>
      </c>
      <c r="K13" s="15">
        <f>L13+16648+26288+26040+10860+25404+20780</f>
        <v>152096</v>
      </c>
      <c r="L13" s="15">
        <f>3304*4+3215*4</f>
        <v>26076</v>
      </c>
      <c r="M13" s="15">
        <f t="shared" si="0"/>
        <v>26076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0.57386363636363646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302</v>
      </c>
      <c r="F14" s="30" t="s">
        <v>149</v>
      </c>
      <c r="G14" s="33">
        <v>1</v>
      </c>
      <c r="H14" s="35">
        <v>30</v>
      </c>
      <c r="I14" s="7">
        <v>100</v>
      </c>
      <c r="J14" s="5">
        <v>100</v>
      </c>
      <c r="K14" s="15">
        <f>L14+100</f>
        <v>100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0.57386363636363646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0.57386363636363646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112</v>
      </c>
      <c r="D16" s="52" t="s">
        <v>121</v>
      </c>
      <c r="E16" s="53" t="s">
        <v>350</v>
      </c>
      <c r="F16" s="30" t="s">
        <v>136</v>
      </c>
      <c r="G16" s="12">
        <v>1</v>
      </c>
      <c r="H16" s="13">
        <v>24</v>
      </c>
      <c r="I16" s="7">
        <v>6500</v>
      </c>
      <c r="J16" s="14">
        <v>2613</v>
      </c>
      <c r="K16" s="15">
        <f>L16</f>
        <v>2613</v>
      </c>
      <c r="L16" s="15">
        <f>2613</f>
        <v>2613</v>
      </c>
      <c r="M16" s="15">
        <f t="shared" si="0"/>
        <v>2613</v>
      </c>
      <c r="N16" s="15">
        <v>0</v>
      </c>
      <c r="O16" s="58">
        <f t="shared" si="1"/>
        <v>0</v>
      </c>
      <c r="P16" s="39">
        <f t="shared" si="2"/>
        <v>13</v>
      </c>
      <c r="Q16" s="40">
        <f t="shared" si="3"/>
        <v>11</v>
      </c>
      <c r="R16" s="7"/>
      <c r="S16" s="6">
        <v>11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0.54166666666666663</v>
      </c>
      <c r="AD16" s="10">
        <f t="shared" si="6"/>
        <v>0.54166666666666663</v>
      </c>
      <c r="AE16" s="36">
        <f t="shared" si="7"/>
        <v>0.57386363636363646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28200</v>
      </c>
      <c r="K17" s="15">
        <f>L17+26370+39325+19755+18405+40885+18620+38310+41130+40940+28200</f>
        <v>311940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0.57386363636363646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330</v>
      </c>
      <c r="F18" s="30" t="s">
        <v>136</v>
      </c>
      <c r="G18" s="33">
        <v>1</v>
      </c>
      <c r="H18" s="35">
        <v>24</v>
      </c>
      <c r="I18" s="7">
        <v>6500</v>
      </c>
      <c r="J18" s="14">
        <v>5571</v>
      </c>
      <c r="K18" s="15">
        <f>L18</f>
        <v>5571</v>
      </c>
      <c r="L18" s="15">
        <f>2519+2823+229</f>
        <v>5571</v>
      </c>
      <c r="M18" s="15">
        <f t="shared" si="0"/>
        <v>5571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0.57386363636363646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196</v>
      </c>
      <c r="F19" s="30" t="s">
        <v>127</v>
      </c>
      <c r="G19" s="33">
        <v>1</v>
      </c>
      <c r="H19" s="35">
        <v>24</v>
      </c>
      <c r="I19" s="7">
        <v>20000</v>
      </c>
      <c r="J19" s="14">
        <v>5705</v>
      </c>
      <c r="K19" s="15">
        <f>L19+5252+4771+4224+1170+4596</f>
        <v>25718</v>
      </c>
      <c r="L19" s="15">
        <f>2825+2880</f>
        <v>5705</v>
      </c>
      <c r="M19" s="15">
        <f t="shared" si="0"/>
        <v>5705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0.57386363636363646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133</v>
      </c>
      <c r="E20" s="53" t="s">
        <v>221</v>
      </c>
      <c r="F20" s="30" t="s">
        <v>127</v>
      </c>
      <c r="G20" s="12">
        <v>2</v>
      </c>
      <c r="H20" s="13">
        <v>24</v>
      </c>
      <c r="I20" s="7">
        <v>150000</v>
      </c>
      <c r="J20" s="14">
        <v>18763</v>
      </c>
      <c r="K20" s="15">
        <f>L20+20020+14558+6956+4260+13958+8440</f>
        <v>86955</v>
      </c>
      <c r="L20" s="15">
        <f>1491*4+2800*4+183*3+350*3</f>
        <v>18763</v>
      </c>
      <c r="M20" s="15">
        <f t="shared" si="0"/>
        <v>18763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6"/>
        <v>0.83333333333333337</v>
      </c>
      <c r="AE20" s="36">
        <f t="shared" si="7"/>
        <v>0.57386363636363646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61828</v>
      </c>
      <c r="K21" s="15">
        <f>L21+50740+61508+62116+62068+58848+54656+61696+61724+33064+28160+54396+62000</f>
        <v>712804</v>
      </c>
      <c r="L21" s="15">
        <f>7793*4+7664*4</f>
        <v>61828</v>
      </c>
      <c r="M21" s="15">
        <f t="shared" si="0"/>
        <v>61828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0.57386363636363646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0.57386363636363646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0.57386363636363646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0.57386363636363646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0.57386363636363646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0.57386363636363646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396032</v>
      </c>
      <c r="K27" s="15">
        <f>L27</f>
        <v>396032</v>
      </c>
      <c r="L27" s="15">
        <f>4561*32+7815*32</f>
        <v>396032</v>
      </c>
      <c r="M27" s="15">
        <f t="shared" si="0"/>
        <v>396032</v>
      </c>
      <c r="N27" s="15">
        <v>0</v>
      </c>
      <c r="O27" s="58">
        <f t="shared" si="1"/>
        <v>0</v>
      </c>
      <c r="P27" s="39">
        <f t="shared" si="2"/>
        <v>20</v>
      </c>
      <c r="Q27" s="40">
        <f t="shared" si="3"/>
        <v>4</v>
      </c>
      <c r="R27" s="7"/>
      <c r="S27" s="6"/>
      <c r="T27" s="16">
        <v>4</v>
      </c>
      <c r="U27" s="16"/>
      <c r="V27" s="120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0.83333333333333337</v>
      </c>
      <c r="AD27" s="10">
        <f t="shared" si="6"/>
        <v>0.83333333333333337</v>
      </c>
      <c r="AE27" s="36">
        <f t="shared" si="7"/>
        <v>0.57386363636363646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4792400</v>
      </c>
      <c r="J28" s="19">
        <f t="shared" si="9"/>
        <v>657513</v>
      </c>
      <c r="K28" s="20">
        <f t="shared" si="9"/>
        <v>2878520</v>
      </c>
      <c r="L28" s="21">
        <f t="shared" si="9"/>
        <v>578081</v>
      </c>
      <c r="M28" s="20">
        <f t="shared" si="9"/>
        <v>578081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303</v>
      </c>
      <c r="Q28" s="43">
        <f t="shared" si="10"/>
        <v>225</v>
      </c>
      <c r="R28" s="23">
        <f t="shared" si="10"/>
        <v>0</v>
      </c>
      <c r="S28" s="24">
        <f t="shared" si="10"/>
        <v>15</v>
      </c>
      <c r="T28" s="24">
        <f t="shared" si="10"/>
        <v>4</v>
      </c>
      <c r="U28" s="24">
        <f t="shared" si="10"/>
        <v>0</v>
      </c>
      <c r="V28" s="25">
        <f t="shared" si="10"/>
        <v>0</v>
      </c>
      <c r="W28" s="26">
        <f t="shared" si="10"/>
        <v>182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24</v>
      </c>
      <c r="AB28" s="28">
        <f>AVERAGE(AB6:AB27)</f>
        <v>0.7</v>
      </c>
      <c r="AC28" s="4">
        <f>AVERAGE(AC6:AC27)</f>
        <v>0.57386363636363646</v>
      </c>
      <c r="AD28" s="4">
        <f>AVERAGE(AD6:AD27)</f>
        <v>0.57386363636363646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351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360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213" t="s">
        <v>46</v>
      </c>
      <c r="D57" s="213" t="s">
        <v>47</v>
      </c>
      <c r="E57" s="213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213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215" t="s">
        <v>220</v>
      </c>
      <c r="D58" s="215" t="s">
        <v>133</v>
      </c>
      <c r="E58" s="215" t="s">
        <v>221</v>
      </c>
      <c r="F58" s="504" t="s">
        <v>280</v>
      </c>
      <c r="G58" s="505"/>
      <c r="H58" s="505"/>
      <c r="I58" s="505"/>
      <c r="J58" s="505"/>
      <c r="K58" s="505"/>
      <c r="L58" s="505"/>
      <c r="M58" s="506"/>
      <c r="N58" s="214" t="s">
        <v>112</v>
      </c>
      <c r="O58" s="221" t="s">
        <v>220</v>
      </c>
      <c r="P58" s="518" t="s">
        <v>133</v>
      </c>
      <c r="Q58" s="519"/>
      <c r="R58" s="518" t="s">
        <v>221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215" t="s">
        <v>186</v>
      </c>
      <c r="D59" s="215" t="s">
        <v>323</v>
      </c>
      <c r="E59" s="215" t="s">
        <v>321</v>
      </c>
      <c r="F59" s="504" t="s">
        <v>123</v>
      </c>
      <c r="G59" s="505"/>
      <c r="H59" s="505"/>
      <c r="I59" s="505"/>
      <c r="J59" s="505"/>
      <c r="K59" s="505"/>
      <c r="L59" s="505"/>
      <c r="M59" s="506"/>
      <c r="N59" s="214" t="s">
        <v>112</v>
      </c>
      <c r="O59" s="221" t="s">
        <v>322</v>
      </c>
      <c r="P59" s="518" t="s">
        <v>229</v>
      </c>
      <c r="Q59" s="519"/>
      <c r="R59" s="518" t="s">
        <v>361</v>
      </c>
      <c r="S59" s="520"/>
      <c r="T59" s="520"/>
      <c r="U59" s="519"/>
      <c r="V59" s="504" t="s">
        <v>307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197</v>
      </c>
      <c r="B60" s="507"/>
      <c r="C60" s="215" t="s">
        <v>157</v>
      </c>
      <c r="D60" s="215"/>
      <c r="E60" s="215" t="s">
        <v>352</v>
      </c>
      <c r="F60" s="504" t="s">
        <v>285</v>
      </c>
      <c r="G60" s="505"/>
      <c r="H60" s="505"/>
      <c r="I60" s="505"/>
      <c r="J60" s="505"/>
      <c r="K60" s="505"/>
      <c r="L60" s="505"/>
      <c r="M60" s="506"/>
      <c r="N60" s="214" t="s">
        <v>325</v>
      </c>
      <c r="O60" s="221" t="s">
        <v>198</v>
      </c>
      <c r="P60" s="518"/>
      <c r="Q60" s="519"/>
      <c r="R60" s="518" t="s">
        <v>192</v>
      </c>
      <c r="S60" s="520"/>
      <c r="T60" s="520"/>
      <c r="U60" s="519"/>
      <c r="V60" s="504" t="s">
        <v>311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112</v>
      </c>
      <c r="B61" s="507"/>
      <c r="C61" s="215" t="s">
        <v>354</v>
      </c>
      <c r="D61" s="215" t="s">
        <v>355</v>
      </c>
      <c r="E61" s="215" t="s">
        <v>353</v>
      </c>
      <c r="F61" s="504" t="s">
        <v>123</v>
      </c>
      <c r="G61" s="505"/>
      <c r="H61" s="505"/>
      <c r="I61" s="505"/>
      <c r="J61" s="505"/>
      <c r="K61" s="505"/>
      <c r="L61" s="505"/>
      <c r="M61" s="506"/>
      <c r="N61" s="235" t="s">
        <v>112</v>
      </c>
      <c r="O61" s="229" t="s">
        <v>148</v>
      </c>
      <c r="P61" s="518" t="s">
        <v>115</v>
      </c>
      <c r="Q61" s="519"/>
      <c r="R61" s="518" t="s">
        <v>330</v>
      </c>
      <c r="S61" s="520"/>
      <c r="T61" s="520"/>
      <c r="U61" s="519"/>
      <c r="V61" s="504" t="s">
        <v>217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112</v>
      </c>
      <c r="B62" s="507"/>
      <c r="C62" s="215" t="s">
        <v>356</v>
      </c>
      <c r="D62" s="215" t="s">
        <v>357</v>
      </c>
      <c r="E62" s="215" t="s">
        <v>358</v>
      </c>
      <c r="F62" s="504" t="s">
        <v>359</v>
      </c>
      <c r="G62" s="505"/>
      <c r="H62" s="505"/>
      <c r="I62" s="505"/>
      <c r="J62" s="505"/>
      <c r="K62" s="505"/>
      <c r="L62" s="505"/>
      <c r="M62" s="506"/>
      <c r="N62" s="214" t="s">
        <v>112</v>
      </c>
      <c r="O62" s="221" t="s">
        <v>363</v>
      </c>
      <c r="P62" s="518" t="s">
        <v>364</v>
      </c>
      <c r="Q62" s="519"/>
      <c r="R62" s="518" t="s">
        <v>362</v>
      </c>
      <c r="S62" s="520"/>
      <c r="T62" s="520"/>
      <c r="U62" s="519"/>
      <c r="V62" s="504" t="s">
        <v>123</v>
      </c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/>
      <c r="B63" s="507"/>
      <c r="C63" s="215"/>
      <c r="D63" s="215"/>
      <c r="E63" s="215"/>
      <c r="F63" s="504"/>
      <c r="G63" s="505"/>
      <c r="H63" s="505"/>
      <c r="I63" s="505"/>
      <c r="J63" s="505"/>
      <c r="K63" s="505"/>
      <c r="L63" s="505"/>
      <c r="M63" s="506"/>
      <c r="N63" s="214" t="s">
        <v>112</v>
      </c>
      <c r="O63" s="221" t="s">
        <v>365</v>
      </c>
      <c r="P63" s="518" t="s">
        <v>366</v>
      </c>
      <c r="Q63" s="519"/>
      <c r="R63" s="518" t="s">
        <v>367</v>
      </c>
      <c r="S63" s="520"/>
      <c r="T63" s="520"/>
      <c r="U63" s="519"/>
      <c r="V63" s="504" t="s">
        <v>123</v>
      </c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/>
      <c r="B64" s="507"/>
      <c r="C64" s="215"/>
      <c r="D64" s="215"/>
      <c r="E64" s="215"/>
      <c r="F64" s="504"/>
      <c r="G64" s="505"/>
      <c r="H64" s="505"/>
      <c r="I64" s="505"/>
      <c r="J64" s="505"/>
      <c r="K64" s="505"/>
      <c r="L64" s="505"/>
      <c r="M64" s="506"/>
      <c r="N64" s="214"/>
      <c r="O64" s="221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218"/>
      <c r="D65" s="218"/>
      <c r="E65" s="215"/>
      <c r="F65" s="504"/>
      <c r="G65" s="505"/>
      <c r="H65" s="505"/>
      <c r="I65" s="505"/>
      <c r="J65" s="505"/>
      <c r="K65" s="505"/>
      <c r="L65" s="505"/>
      <c r="M65" s="506"/>
      <c r="N65" s="214"/>
      <c r="O65" s="221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218"/>
      <c r="D66" s="218"/>
      <c r="E66" s="215"/>
      <c r="F66" s="504"/>
      <c r="G66" s="505"/>
      <c r="H66" s="505"/>
      <c r="I66" s="505"/>
      <c r="J66" s="505"/>
      <c r="K66" s="505"/>
      <c r="L66" s="505"/>
      <c r="M66" s="506"/>
      <c r="N66" s="214"/>
      <c r="O66" s="221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216"/>
      <c r="D67" s="217"/>
      <c r="E67" s="216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368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219" t="s">
        <v>2</v>
      </c>
      <c r="D69" s="219" t="s">
        <v>37</v>
      </c>
      <c r="E69" s="219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219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112</v>
      </c>
      <c r="D70" s="223"/>
      <c r="E70" s="220" t="s">
        <v>355</v>
      </c>
      <c r="F70" s="488" t="s">
        <v>329</v>
      </c>
      <c r="G70" s="478"/>
      <c r="H70" s="478"/>
      <c r="I70" s="478"/>
      <c r="J70" s="478"/>
      <c r="K70" s="478" t="s">
        <v>136</v>
      </c>
      <c r="L70" s="478"/>
      <c r="M70" s="51" t="s">
        <v>339</v>
      </c>
      <c r="N70" s="489" t="s">
        <v>247</v>
      </c>
      <c r="O70" s="489"/>
      <c r="P70" s="490">
        <v>42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/>
      <c r="D71" s="223"/>
      <c r="E71" s="220"/>
      <c r="F71" s="492"/>
      <c r="G71" s="493"/>
      <c r="H71" s="493"/>
      <c r="I71" s="493"/>
      <c r="J71" s="494"/>
      <c r="K71" s="478"/>
      <c r="L71" s="478"/>
      <c r="M71" s="51"/>
      <c r="N71" s="489"/>
      <c r="O71" s="489"/>
      <c r="P71" s="490"/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/>
      <c r="D72" s="223"/>
      <c r="E72" s="220"/>
      <c r="F72" s="492"/>
      <c r="G72" s="493"/>
      <c r="H72" s="493"/>
      <c r="I72" s="493"/>
      <c r="J72" s="494"/>
      <c r="K72" s="478"/>
      <c r="L72" s="478"/>
      <c r="M72" s="51"/>
      <c r="N72" s="489"/>
      <c r="O72" s="489"/>
      <c r="P72" s="490"/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223"/>
      <c r="E73" s="220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223"/>
      <c r="E74" s="220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223"/>
      <c r="E75" s="220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223"/>
      <c r="E76" s="220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223"/>
      <c r="E77" s="220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223"/>
      <c r="E78" s="220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223"/>
      <c r="E79" s="220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369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222" t="s">
        <v>2</v>
      </c>
      <c r="D81" s="222" t="s">
        <v>37</v>
      </c>
      <c r="E81" s="222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224"/>
      <c r="D82" s="224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223"/>
      <c r="D83" s="223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223"/>
      <c r="D84" s="223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223"/>
      <c r="D85" s="223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223"/>
      <c r="D86" s="223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223"/>
      <c r="D87" s="223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223"/>
      <c r="D88" s="223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370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>
        <v>9</v>
      </c>
      <c r="D91" s="454"/>
      <c r="E91" s="454" t="s">
        <v>124</v>
      </c>
      <c r="F91" s="454"/>
      <c r="G91" s="454"/>
      <c r="H91" s="454"/>
      <c r="I91" s="454"/>
      <c r="J91" s="454"/>
      <c r="K91" s="454" t="s">
        <v>129</v>
      </c>
      <c r="L91" s="454"/>
      <c r="M91" s="454"/>
      <c r="N91" s="454"/>
      <c r="O91" s="454"/>
      <c r="P91" s="454"/>
      <c r="Q91" s="454"/>
      <c r="R91" s="454"/>
      <c r="S91" s="454"/>
      <c r="T91" s="454" t="s">
        <v>125</v>
      </c>
      <c r="U91" s="454"/>
      <c r="V91" s="455">
        <v>1900000</v>
      </c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5E95-9626-495A-9A2B-BC06F1D05E88}">
  <sheetPr>
    <pageSetUpPr fitToPage="1"/>
  </sheetPr>
  <dimension ref="A1:AF94"/>
  <sheetViews>
    <sheetView view="pageBreakPreview" zoomScale="70" zoomScaleNormal="72" zoomScaleSheetLayoutView="70" workbookViewId="0">
      <selection activeCell="F66" sqref="F66:M6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371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237" t="s">
        <v>17</v>
      </c>
      <c r="L5" s="237" t="s">
        <v>18</v>
      </c>
      <c r="M5" s="237" t="s">
        <v>19</v>
      </c>
      <c r="N5" s="23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323</v>
      </c>
      <c r="E6" s="53" t="s">
        <v>349</v>
      </c>
      <c r="F6" s="30" t="s">
        <v>211</v>
      </c>
      <c r="G6" s="12">
        <v>1</v>
      </c>
      <c r="H6" s="13">
        <v>24</v>
      </c>
      <c r="I6" s="31">
        <v>6500</v>
      </c>
      <c r="J6" s="14">
        <v>1225</v>
      </c>
      <c r="K6" s="15">
        <f>L6+5753</f>
        <v>6978</v>
      </c>
      <c r="L6" s="15">
        <v>1225</v>
      </c>
      <c r="M6" s="15">
        <f t="shared" ref="M6:M28" si="0">L6-N6</f>
        <v>1225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6</v>
      </c>
      <c r="Q6" s="40">
        <f t="shared" ref="Q6:Q28" si="3">SUM(R6:AA6)</f>
        <v>18</v>
      </c>
      <c r="R6" s="7"/>
      <c r="S6" s="6"/>
      <c r="T6" s="16"/>
      <c r="U6" s="16"/>
      <c r="V6" s="17"/>
      <c r="W6" s="5">
        <v>18</v>
      </c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0.25</v>
      </c>
      <c r="AD6" s="10">
        <f t="shared" ref="AD6:AD28" si="6">AC6*AB6*(1-O6)</f>
        <v>0.25</v>
      </c>
      <c r="AE6" s="36">
        <f t="shared" ref="AE6:AE28" si="7">$AD$29</f>
        <v>0.43115942028985504</v>
      </c>
      <c r="AF6" s="84">
        <f t="shared" ref="AF6:AF28" si="8">A6</f>
        <v>1</v>
      </c>
    </row>
    <row r="7" spans="1:32" ht="27" customHeight="1">
      <c r="A7" s="112">
        <v>1</v>
      </c>
      <c r="B7" s="11" t="s">
        <v>57</v>
      </c>
      <c r="C7" s="34" t="s">
        <v>112</v>
      </c>
      <c r="D7" s="52" t="s">
        <v>323</v>
      </c>
      <c r="E7" s="53" t="s">
        <v>361</v>
      </c>
      <c r="F7" s="30" t="s">
        <v>211</v>
      </c>
      <c r="G7" s="12">
        <v>1</v>
      </c>
      <c r="H7" s="13">
        <v>24</v>
      </c>
      <c r="I7" s="31">
        <v>3200</v>
      </c>
      <c r="J7" s="14">
        <v>2665</v>
      </c>
      <c r="K7" s="15">
        <f>L7</f>
        <v>2665</v>
      </c>
      <c r="L7" s="15">
        <v>2665</v>
      </c>
      <c r="M7" s="15">
        <f t="shared" ref="M7" si="9">L7-N7</f>
        <v>2665</v>
      </c>
      <c r="N7" s="15">
        <v>0</v>
      </c>
      <c r="O7" s="58">
        <f t="shared" ref="O7" si="10">IF(L7=0,"0",N7/L7)</f>
        <v>0</v>
      </c>
      <c r="P7" s="39">
        <f t="shared" ref="P7" si="11">IF(L7=0,"0",(24-Q7))</f>
        <v>13</v>
      </c>
      <c r="Q7" s="40">
        <f t="shared" ref="Q7" si="12">SUM(R7:AA7)</f>
        <v>11</v>
      </c>
      <c r="R7" s="7"/>
      <c r="S7" s="6">
        <v>5</v>
      </c>
      <c r="T7" s="16">
        <v>6</v>
      </c>
      <c r="U7" s="16"/>
      <c r="V7" s="17"/>
      <c r="W7" s="5"/>
      <c r="X7" s="16"/>
      <c r="Y7" s="16"/>
      <c r="Z7" s="16"/>
      <c r="AA7" s="18"/>
      <c r="AB7" s="8">
        <f t="shared" ref="AB7" si="13">IF(J7=0,"0",(L7/J7))</f>
        <v>1</v>
      </c>
      <c r="AC7" s="9">
        <f t="shared" ref="AC7" si="14">IF(P7=0,"0",(P7/24))</f>
        <v>0.54166666666666663</v>
      </c>
      <c r="AD7" s="10">
        <f t="shared" ref="AD7" si="15">AC7*AB7*(1-O7)</f>
        <v>0.54166666666666663</v>
      </c>
      <c r="AE7" s="36">
        <f t="shared" si="7"/>
        <v>0.43115942028985504</v>
      </c>
      <c r="AF7" s="84">
        <f t="shared" ref="AF7" si="16">A7</f>
        <v>1</v>
      </c>
    </row>
    <row r="8" spans="1:32" ht="27" customHeight="1">
      <c r="A8" s="112">
        <v>2</v>
      </c>
      <c r="B8" s="11" t="s">
        <v>57</v>
      </c>
      <c r="C8" s="34" t="s">
        <v>134</v>
      </c>
      <c r="D8" s="52" t="s">
        <v>137</v>
      </c>
      <c r="E8" s="53" t="s">
        <v>160</v>
      </c>
      <c r="F8" s="30" t="s">
        <v>161</v>
      </c>
      <c r="G8" s="12">
        <v>2</v>
      </c>
      <c r="H8" s="13">
        <v>24</v>
      </c>
      <c r="I8" s="31">
        <v>180000</v>
      </c>
      <c r="J8" s="14">
        <v>12708</v>
      </c>
      <c r="K8" s="15">
        <f>L8+4540+5413+4776+3810+3773+2780+4786+5910+5528+3614+7707+9828+3822+6888+11032+9113+10064+12756+9446+2965+8390+12796+12772</f>
        <v>175217</v>
      </c>
      <c r="L8" s="15">
        <f>3216*2+3138*2</f>
        <v>12708</v>
      </c>
      <c r="M8" s="15">
        <f t="shared" si="0"/>
        <v>12708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0.43115942028985504</v>
      </c>
      <c r="AF8" s="84">
        <f t="shared" si="8"/>
        <v>2</v>
      </c>
    </row>
    <row r="9" spans="1:32" ht="27" customHeight="1">
      <c r="A9" s="112">
        <v>3</v>
      </c>
      <c r="B9" s="11" t="s">
        <v>57</v>
      </c>
      <c r="C9" s="34" t="s">
        <v>197</v>
      </c>
      <c r="D9" s="52"/>
      <c r="E9" s="53" t="s">
        <v>192</v>
      </c>
      <c r="F9" s="30" t="s">
        <v>212</v>
      </c>
      <c r="G9" s="12">
        <v>2</v>
      </c>
      <c r="H9" s="13">
        <v>24</v>
      </c>
      <c r="I9" s="7">
        <v>126000</v>
      </c>
      <c r="J9" s="14">
        <v>7968</v>
      </c>
      <c r="K9" s="15">
        <f>L9+1708+5184+11810+11756+5148+11086+11698+11644</f>
        <v>78002</v>
      </c>
      <c r="L9" s="15">
        <f>2921*2+1063*2</f>
        <v>7968</v>
      </c>
      <c r="M9" s="15">
        <f t="shared" si="0"/>
        <v>7968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0.43115942028985504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197</v>
      </c>
      <c r="D10" s="52"/>
      <c r="E10" s="53" t="s">
        <v>193</v>
      </c>
      <c r="F10" s="30" t="s">
        <v>212</v>
      </c>
      <c r="G10" s="12">
        <v>2</v>
      </c>
      <c r="H10" s="13">
        <v>24</v>
      </c>
      <c r="I10" s="7">
        <v>126000</v>
      </c>
      <c r="J10" s="14">
        <v>12426</v>
      </c>
      <c r="K10" s="15">
        <f>L10+11914+12528+12574+9262+2544+9278+12614+12560</f>
        <v>95700</v>
      </c>
      <c r="L10" s="15">
        <f>3135*2+3078*2</f>
        <v>12426</v>
      </c>
      <c r="M10" s="15">
        <f t="shared" si="0"/>
        <v>12426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0.43115942028985504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197</v>
      </c>
      <c r="D11" s="52"/>
      <c r="E11" s="53" t="s">
        <v>194</v>
      </c>
      <c r="F11" s="30" t="s">
        <v>135</v>
      </c>
      <c r="G11" s="33">
        <v>2</v>
      </c>
      <c r="H11" s="35">
        <v>24</v>
      </c>
      <c r="I11" s="7">
        <v>126000</v>
      </c>
      <c r="J11" s="14">
        <v>12834</v>
      </c>
      <c r="K11" s="15">
        <f>L11+11830+12840+12918+12834+5574+11176+13572+8552</f>
        <v>102130</v>
      </c>
      <c r="L11" s="15">
        <f>3246*2+3171*2</f>
        <v>12834</v>
      </c>
      <c r="M11" s="15">
        <f t="shared" si="0"/>
        <v>12834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0.43115942028985504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300</v>
      </c>
      <c r="E12" s="53" t="s">
        <v>301</v>
      </c>
      <c r="F12" s="30" t="s">
        <v>136</v>
      </c>
      <c r="G12" s="33">
        <v>2</v>
      </c>
      <c r="H12" s="35">
        <v>24</v>
      </c>
      <c r="I12" s="7">
        <f>3200*4</f>
        <v>12800</v>
      </c>
      <c r="J12" s="14">
        <v>5190</v>
      </c>
      <c r="K12" s="15">
        <f>L12+7988+5190</f>
        <v>13178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14</v>
      </c>
      <c r="R12" s="7"/>
      <c r="S12" s="6"/>
      <c r="T12" s="16"/>
      <c r="U12" s="16"/>
      <c r="V12" s="17"/>
      <c r="W12" s="5">
        <v>14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0.43115942028985504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116</v>
      </c>
      <c r="D13" s="52" t="s">
        <v>115</v>
      </c>
      <c r="E13" s="53" t="s">
        <v>271</v>
      </c>
      <c r="F13" s="30" t="s">
        <v>278</v>
      </c>
      <c r="G13" s="12">
        <v>1</v>
      </c>
      <c r="H13" s="13">
        <v>22</v>
      </c>
      <c r="I13" s="31">
        <v>10000</v>
      </c>
      <c r="J13" s="5">
        <v>5022</v>
      </c>
      <c r="K13" s="15">
        <f>L13+1982+3842+4425+5022</f>
        <v>15271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0.43115942028985504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202</v>
      </c>
      <c r="E14" s="53" t="s">
        <v>237</v>
      </c>
      <c r="F14" s="30" t="s">
        <v>126</v>
      </c>
      <c r="G14" s="33">
        <v>4</v>
      </c>
      <c r="H14" s="35">
        <v>22</v>
      </c>
      <c r="I14" s="7">
        <v>150000</v>
      </c>
      <c r="J14" s="14">
        <v>26112</v>
      </c>
      <c r="K14" s="15">
        <f>L14+16648+26288+26040+10860+25404+20780+26076</f>
        <v>178208</v>
      </c>
      <c r="L14" s="15">
        <f>3305*4+3223*4</f>
        <v>26112</v>
      </c>
      <c r="M14" s="15">
        <f t="shared" si="0"/>
        <v>26112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0.43115942028985504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158</v>
      </c>
      <c r="D15" s="52" t="s">
        <v>115</v>
      </c>
      <c r="E15" s="53" t="s">
        <v>294</v>
      </c>
      <c r="F15" s="30" t="s">
        <v>149</v>
      </c>
      <c r="G15" s="33">
        <v>1</v>
      </c>
      <c r="H15" s="35">
        <v>30</v>
      </c>
      <c r="I15" s="7">
        <v>100</v>
      </c>
      <c r="J15" s="5">
        <v>100</v>
      </c>
      <c r="K15" s="15">
        <f>L15+100</f>
        <v>100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0.43115942028985504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121</v>
      </c>
      <c r="E16" s="53" t="s">
        <v>132</v>
      </c>
      <c r="F16" s="30" t="s">
        <v>128</v>
      </c>
      <c r="G16" s="12">
        <v>4</v>
      </c>
      <c r="H16" s="13">
        <v>24</v>
      </c>
      <c r="I16" s="31">
        <v>52000</v>
      </c>
      <c r="J16" s="14">
        <v>26300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0.43115942028985504</v>
      </c>
      <c r="AF16" s="84">
        <f t="shared" si="8"/>
        <v>10</v>
      </c>
    </row>
    <row r="17" spans="1:32" ht="27" customHeight="1">
      <c r="A17" s="112">
        <v>11</v>
      </c>
      <c r="B17" s="11" t="s">
        <v>57</v>
      </c>
      <c r="C17" s="34" t="s">
        <v>112</v>
      </c>
      <c r="D17" s="52" t="s">
        <v>121</v>
      </c>
      <c r="E17" s="53" t="s">
        <v>329</v>
      </c>
      <c r="F17" s="30" t="s">
        <v>136</v>
      </c>
      <c r="G17" s="12">
        <v>1</v>
      </c>
      <c r="H17" s="13">
        <v>24</v>
      </c>
      <c r="I17" s="7">
        <v>6500</v>
      </c>
      <c r="J17" s="14">
        <v>4111</v>
      </c>
      <c r="K17" s="15">
        <f>L17+2613</f>
        <v>6724</v>
      </c>
      <c r="L17" s="15">
        <f>1007+3104</f>
        <v>4111</v>
      </c>
      <c r="M17" s="15">
        <f t="shared" si="0"/>
        <v>4111</v>
      </c>
      <c r="N17" s="15">
        <v>0</v>
      </c>
      <c r="O17" s="58">
        <f t="shared" si="1"/>
        <v>0</v>
      </c>
      <c r="P17" s="39">
        <f t="shared" si="2"/>
        <v>20</v>
      </c>
      <c r="Q17" s="40">
        <f t="shared" si="3"/>
        <v>4</v>
      </c>
      <c r="R17" s="7"/>
      <c r="S17" s="6"/>
      <c r="T17" s="16"/>
      <c r="U17" s="16"/>
      <c r="V17" s="17"/>
      <c r="W17" s="5">
        <v>4</v>
      </c>
      <c r="X17" s="16"/>
      <c r="Y17" s="16"/>
      <c r="Z17" s="16"/>
      <c r="AA17" s="18"/>
      <c r="AB17" s="8">
        <f t="shared" si="4"/>
        <v>1</v>
      </c>
      <c r="AC17" s="9">
        <f t="shared" si="5"/>
        <v>0.83333333333333337</v>
      </c>
      <c r="AD17" s="10">
        <f t="shared" si="6"/>
        <v>0.83333333333333337</v>
      </c>
      <c r="AE17" s="36">
        <f t="shared" si="7"/>
        <v>0.43115942028985504</v>
      </c>
      <c r="AF17" s="84">
        <f t="shared" si="8"/>
        <v>11</v>
      </c>
    </row>
    <row r="18" spans="1:32" ht="27" customHeight="1">
      <c r="A18" s="95">
        <v>12</v>
      </c>
      <c r="B18" s="11" t="s">
        <v>57</v>
      </c>
      <c r="C18" s="34" t="s">
        <v>134</v>
      </c>
      <c r="D18" s="52"/>
      <c r="E18" s="53" t="s">
        <v>167</v>
      </c>
      <c r="F18" s="30" t="s">
        <v>168</v>
      </c>
      <c r="G18" s="12">
        <v>5</v>
      </c>
      <c r="H18" s="13">
        <v>24</v>
      </c>
      <c r="I18" s="7">
        <v>200000</v>
      </c>
      <c r="J18" s="14">
        <v>28200</v>
      </c>
      <c r="K18" s="15">
        <f>L18+26370+39325+19755+18405+40885+18620+38310+41130+40940+28200</f>
        <v>311940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0.43115942028985504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134</v>
      </c>
      <c r="D19" s="52" t="s">
        <v>372</v>
      </c>
      <c r="E19" s="53" t="s">
        <v>373</v>
      </c>
      <c r="F19" s="30" t="s">
        <v>136</v>
      </c>
      <c r="G19" s="33" t="s">
        <v>374</v>
      </c>
      <c r="H19" s="35">
        <v>24</v>
      </c>
      <c r="I19" s="7">
        <v>2000</v>
      </c>
      <c r="J19" s="14">
        <v>3113</v>
      </c>
      <c r="K19" s="15">
        <f>L19</f>
        <v>3113</v>
      </c>
      <c r="L19" s="15">
        <f>1119+1994</f>
        <v>3113</v>
      </c>
      <c r="M19" s="15">
        <f t="shared" si="0"/>
        <v>3113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/>
      <c r="T19" s="16">
        <v>5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6">
        <f t="shared" si="7"/>
        <v>0.43115942028985504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133</v>
      </c>
      <c r="E20" s="53" t="s">
        <v>196</v>
      </c>
      <c r="F20" s="30" t="s">
        <v>127</v>
      </c>
      <c r="G20" s="33">
        <v>1</v>
      </c>
      <c r="H20" s="35">
        <v>24</v>
      </c>
      <c r="I20" s="7">
        <v>20000</v>
      </c>
      <c r="J20" s="14">
        <v>1835</v>
      </c>
      <c r="K20" s="15">
        <f>L20+5252+4771+4224+1170+4596+5705</f>
        <v>27553</v>
      </c>
      <c r="L20" s="15">
        <f>1835</f>
        <v>1835</v>
      </c>
      <c r="M20" s="15">
        <f t="shared" si="0"/>
        <v>1835</v>
      </c>
      <c r="N20" s="15">
        <v>0</v>
      </c>
      <c r="O20" s="58">
        <f t="shared" si="1"/>
        <v>0</v>
      </c>
      <c r="P20" s="39">
        <f t="shared" si="2"/>
        <v>8</v>
      </c>
      <c r="Q20" s="40">
        <f t="shared" si="3"/>
        <v>16</v>
      </c>
      <c r="R20" s="7"/>
      <c r="S20" s="6">
        <v>16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0.33333333333333331</v>
      </c>
      <c r="AD20" s="10">
        <f t="shared" si="6"/>
        <v>0.33333333333333331</v>
      </c>
      <c r="AE20" s="36">
        <f t="shared" si="7"/>
        <v>0.43115942028985504</v>
      </c>
      <c r="AF20" s="84">
        <f t="shared" si="8"/>
        <v>14</v>
      </c>
    </row>
    <row r="21" spans="1:32" ht="27" customHeight="1">
      <c r="A21" s="112">
        <v>15</v>
      </c>
      <c r="B21" s="11" t="s">
        <v>57</v>
      </c>
      <c r="C21" s="34" t="s">
        <v>112</v>
      </c>
      <c r="D21" s="52" t="s">
        <v>133</v>
      </c>
      <c r="E21" s="53" t="s">
        <v>221</v>
      </c>
      <c r="F21" s="30" t="s">
        <v>127</v>
      </c>
      <c r="G21" s="12">
        <v>2</v>
      </c>
      <c r="H21" s="13">
        <v>24</v>
      </c>
      <c r="I21" s="7">
        <v>150000</v>
      </c>
      <c r="J21" s="14">
        <v>11805</v>
      </c>
      <c r="K21" s="15">
        <f>L21+20020+14558+6956+4260+13958+8440+18763</f>
        <v>98760</v>
      </c>
      <c r="L21" s="15">
        <f>2400*4+605*3+130*3</f>
        <v>11805</v>
      </c>
      <c r="M21" s="15">
        <f t="shared" si="0"/>
        <v>11805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>
        <v>10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0.43115942028985504</v>
      </c>
      <c r="AF21" s="84">
        <f t="shared" si="8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131</v>
      </c>
      <c r="F22" s="12" t="s">
        <v>114</v>
      </c>
      <c r="G22" s="12">
        <v>4</v>
      </c>
      <c r="H22" s="35">
        <v>20</v>
      </c>
      <c r="I22" s="7">
        <v>1000000</v>
      </c>
      <c r="J22" s="14">
        <v>61480</v>
      </c>
      <c r="K22" s="15">
        <f>L22+50740+61508+62116+62068+58848+54656+61696+61724+33064+28160+54396+62000+61828</f>
        <v>774284</v>
      </c>
      <c r="L22" s="15">
        <f>7768*4+7602*4</f>
        <v>61480</v>
      </c>
      <c r="M22" s="15">
        <f t="shared" si="0"/>
        <v>61480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0.43115942028985504</v>
      </c>
      <c r="AF22" s="84">
        <f t="shared" si="8"/>
        <v>16</v>
      </c>
    </row>
    <row r="23" spans="1:32" ht="18.75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0.43115942028985504</v>
      </c>
      <c r="AF23" s="84">
        <f t="shared" si="8"/>
        <v>31</v>
      </c>
    </row>
    <row r="24" spans="1:32" ht="18.75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0.43115942028985504</v>
      </c>
      <c r="AF24" s="84">
        <f t="shared" si="8"/>
        <v>32</v>
      </c>
    </row>
    <row r="25" spans="1:32" ht="18.75">
      <c r="A25" s="96">
        <v>33</v>
      </c>
      <c r="B25" s="11" t="s">
        <v>57</v>
      </c>
      <c r="C25" s="11" t="s">
        <v>116</v>
      </c>
      <c r="D25" s="52" t="s">
        <v>137</v>
      </c>
      <c r="E25" s="53" t="s">
        <v>140</v>
      </c>
      <c r="F25" s="12" t="s">
        <v>136</v>
      </c>
      <c r="G25" s="12">
        <v>1</v>
      </c>
      <c r="H25" s="35">
        <v>20</v>
      </c>
      <c r="I25" s="7">
        <v>140000</v>
      </c>
      <c r="J25" s="14">
        <v>3244</v>
      </c>
      <c r="K25" s="15">
        <f>L25+4387+7770+5806+7905+7479+7369+7360+2397+6904+7208+7013+6976+6992+2652+6495+7026+7051+7084+4297+6519+7042+3244</f>
        <v>136976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0.43115942028985504</v>
      </c>
      <c r="AF25" s="84">
        <f t="shared" si="8"/>
        <v>33</v>
      </c>
    </row>
    <row r="26" spans="1:32" ht="28.5">
      <c r="A26" s="96">
        <v>34</v>
      </c>
      <c r="B26" s="11" t="s">
        <v>57</v>
      </c>
      <c r="C26" s="11" t="s">
        <v>116</v>
      </c>
      <c r="D26" s="52" t="s">
        <v>137</v>
      </c>
      <c r="E26" s="53" t="s">
        <v>141</v>
      </c>
      <c r="F26" s="12" t="s">
        <v>128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0.43115942028985504</v>
      </c>
      <c r="AF26" s="84">
        <f t="shared" si="8"/>
        <v>34</v>
      </c>
    </row>
    <row r="27" spans="1:32" ht="28.5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130</v>
      </c>
      <c r="F27" s="12" t="s">
        <v>128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0.43115942028985504</v>
      </c>
      <c r="AF27" s="84">
        <f t="shared" si="8"/>
        <v>35</v>
      </c>
    </row>
    <row r="28" spans="1:32" ht="19.5" thickBot="1">
      <c r="A28" s="96">
        <v>36</v>
      </c>
      <c r="B28" s="11" t="s">
        <v>57</v>
      </c>
      <c r="C28" s="11" t="s">
        <v>150</v>
      </c>
      <c r="D28" s="52"/>
      <c r="E28" s="53" t="s">
        <v>348</v>
      </c>
      <c r="F28" s="12" t="s">
        <v>152</v>
      </c>
      <c r="G28" s="12">
        <v>32</v>
      </c>
      <c r="H28" s="35">
        <v>20</v>
      </c>
      <c r="I28" s="7">
        <v>2000000</v>
      </c>
      <c r="J28" s="14">
        <v>523136</v>
      </c>
      <c r="K28" s="15">
        <f>L28+396032</f>
        <v>919168</v>
      </c>
      <c r="L28" s="15">
        <f>8141*32+8207*32</f>
        <v>523136</v>
      </c>
      <c r="M28" s="15">
        <f t="shared" si="0"/>
        <v>523136</v>
      </c>
      <c r="N28" s="15">
        <v>0</v>
      </c>
      <c r="O28" s="58">
        <f t="shared" si="1"/>
        <v>0</v>
      </c>
      <c r="P28" s="39">
        <f t="shared" si="2"/>
        <v>20</v>
      </c>
      <c r="Q28" s="40">
        <f t="shared" si="3"/>
        <v>4</v>
      </c>
      <c r="R28" s="7"/>
      <c r="S28" s="6"/>
      <c r="T28" s="16">
        <v>4</v>
      </c>
      <c r="U28" s="16"/>
      <c r="V28" s="120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0.83333333333333337</v>
      </c>
      <c r="AD28" s="10">
        <f t="shared" si="6"/>
        <v>0.83333333333333337</v>
      </c>
      <c r="AE28" s="36">
        <f t="shared" si="7"/>
        <v>0.43115942028985504</v>
      </c>
      <c r="AF28" s="84">
        <f t="shared" si="8"/>
        <v>36</v>
      </c>
    </row>
    <row r="29" spans="1:32" ht="19.5" thickBot="1">
      <c r="A29" s="523" t="s">
        <v>34</v>
      </c>
      <c r="B29" s="524"/>
      <c r="C29" s="524"/>
      <c r="D29" s="524"/>
      <c r="E29" s="524"/>
      <c r="F29" s="524"/>
      <c r="G29" s="524"/>
      <c r="H29" s="525"/>
      <c r="I29" s="22">
        <f t="shared" ref="I29:N29" si="17">SUM(I6:I28)</f>
        <v>4791100</v>
      </c>
      <c r="J29" s="19">
        <f t="shared" si="17"/>
        <v>771062</v>
      </c>
      <c r="K29" s="20">
        <f t="shared" si="17"/>
        <v>3554367</v>
      </c>
      <c r="L29" s="21">
        <f t="shared" si="17"/>
        <v>681418</v>
      </c>
      <c r="M29" s="20">
        <f t="shared" si="17"/>
        <v>681418</v>
      </c>
      <c r="N29" s="21">
        <f t="shared" si="17"/>
        <v>0</v>
      </c>
      <c r="O29" s="41">
        <f t="shared" si="1"/>
        <v>0</v>
      </c>
      <c r="P29" s="42">
        <f t="shared" ref="P29:AA29" si="18">SUM(P6:P28)</f>
        <v>238</v>
      </c>
      <c r="Q29" s="43">
        <f t="shared" si="18"/>
        <v>280</v>
      </c>
      <c r="R29" s="23">
        <f t="shared" si="18"/>
        <v>0</v>
      </c>
      <c r="S29" s="24">
        <f t="shared" si="18"/>
        <v>37</v>
      </c>
      <c r="T29" s="24">
        <f t="shared" si="18"/>
        <v>15</v>
      </c>
      <c r="U29" s="24">
        <f t="shared" si="18"/>
        <v>0</v>
      </c>
      <c r="V29" s="25">
        <f t="shared" si="18"/>
        <v>0</v>
      </c>
      <c r="W29" s="26">
        <f t="shared" si="18"/>
        <v>204</v>
      </c>
      <c r="X29" s="27">
        <f t="shared" si="18"/>
        <v>0</v>
      </c>
      <c r="Y29" s="27">
        <f t="shared" si="18"/>
        <v>0</v>
      </c>
      <c r="Z29" s="27">
        <f t="shared" si="18"/>
        <v>0</v>
      </c>
      <c r="AA29" s="27">
        <f t="shared" si="18"/>
        <v>24</v>
      </c>
      <c r="AB29" s="28">
        <f>AVERAGE(AB6:AB28)</f>
        <v>0.61904761904761907</v>
      </c>
      <c r="AC29" s="4">
        <f>AVERAGE(AC6:AC28)</f>
        <v>0.43115942028985504</v>
      </c>
      <c r="AD29" s="4">
        <f>AVERAGE(AD6:AD28)</f>
        <v>0.43115942028985504</v>
      </c>
      <c r="AE29" s="29"/>
    </row>
    <row r="30" spans="1:32">
      <c r="T30" s="50" t="s">
        <v>138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139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526" t="s">
        <v>45</v>
      </c>
      <c r="B56" s="526"/>
      <c r="C56" s="526"/>
      <c r="D56" s="526"/>
      <c r="E56" s="526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527" t="s">
        <v>375</v>
      </c>
      <c r="B57" s="528"/>
      <c r="C57" s="528"/>
      <c r="D57" s="528"/>
      <c r="E57" s="528"/>
      <c r="F57" s="528"/>
      <c r="G57" s="528"/>
      <c r="H57" s="528"/>
      <c r="I57" s="528"/>
      <c r="J57" s="528"/>
      <c r="K57" s="528"/>
      <c r="L57" s="528"/>
      <c r="M57" s="529"/>
      <c r="N57" s="530" t="s">
        <v>382</v>
      </c>
      <c r="O57" s="531"/>
      <c r="P57" s="531"/>
      <c r="Q57" s="531"/>
      <c r="R57" s="531"/>
      <c r="S57" s="531"/>
      <c r="T57" s="531"/>
      <c r="U57" s="531"/>
      <c r="V57" s="531"/>
      <c r="W57" s="531"/>
      <c r="X57" s="531"/>
      <c r="Y57" s="531"/>
      <c r="Z57" s="531"/>
      <c r="AA57" s="531"/>
      <c r="AB57" s="531"/>
      <c r="AC57" s="531"/>
      <c r="AD57" s="532"/>
    </row>
    <row r="58" spans="1:32" ht="27" customHeight="1">
      <c r="A58" s="533" t="s">
        <v>2</v>
      </c>
      <c r="B58" s="534"/>
      <c r="C58" s="236" t="s">
        <v>46</v>
      </c>
      <c r="D58" s="236" t="s">
        <v>47</v>
      </c>
      <c r="E58" s="236" t="s">
        <v>107</v>
      </c>
      <c r="F58" s="535" t="s">
        <v>106</v>
      </c>
      <c r="G58" s="536"/>
      <c r="H58" s="536"/>
      <c r="I58" s="536"/>
      <c r="J58" s="536"/>
      <c r="K58" s="536"/>
      <c r="L58" s="536"/>
      <c r="M58" s="537"/>
      <c r="N58" s="67" t="s">
        <v>110</v>
      </c>
      <c r="O58" s="236" t="s">
        <v>46</v>
      </c>
      <c r="P58" s="535" t="s">
        <v>47</v>
      </c>
      <c r="Q58" s="538"/>
      <c r="R58" s="535" t="s">
        <v>38</v>
      </c>
      <c r="S58" s="536"/>
      <c r="T58" s="536"/>
      <c r="U58" s="538"/>
      <c r="V58" s="535" t="s">
        <v>48</v>
      </c>
      <c r="W58" s="536"/>
      <c r="X58" s="536"/>
      <c r="Y58" s="536"/>
      <c r="Z58" s="536"/>
      <c r="AA58" s="536"/>
      <c r="AB58" s="536"/>
      <c r="AC58" s="536"/>
      <c r="AD58" s="537"/>
    </row>
    <row r="59" spans="1:32" ht="27" customHeight="1">
      <c r="A59" s="517" t="s">
        <v>112</v>
      </c>
      <c r="B59" s="507"/>
      <c r="C59" s="232" t="s">
        <v>220</v>
      </c>
      <c r="D59" s="232" t="s">
        <v>133</v>
      </c>
      <c r="E59" s="232" t="s">
        <v>221</v>
      </c>
      <c r="F59" s="504" t="s">
        <v>280</v>
      </c>
      <c r="G59" s="505"/>
      <c r="H59" s="505"/>
      <c r="I59" s="505"/>
      <c r="J59" s="505"/>
      <c r="K59" s="505"/>
      <c r="L59" s="505"/>
      <c r="M59" s="506"/>
      <c r="N59" s="235" t="s">
        <v>112</v>
      </c>
      <c r="O59" s="229" t="s">
        <v>220</v>
      </c>
      <c r="P59" s="518" t="s">
        <v>133</v>
      </c>
      <c r="Q59" s="519"/>
      <c r="R59" s="518" t="s">
        <v>221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232" t="s">
        <v>186</v>
      </c>
      <c r="D60" s="232" t="s">
        <v>323</v>
      </c>
      <c r="E60" s="232" t="s">
        <v>361</v>
      </c>
      <c r="F60" s="504" t="s">
        <v>381</v>
      </c>
      <c r="G60" s="505"/>
      <c r="H60" s="505"/>
      <c r="I60" s="505"/>
      <c r="J60" s="505"/>
      <c r="K60" s="505"/>
      <c r="L60" s="505"/>
      <c r="M60" s="506"/>
      <c r="N60" s="240" t="s">
        <v>112</v>
      </c>
      <c r="O60" s="247" t="s">
        <v>247</v>
      </c>
      <c r="P60" s="518" t="s">
        <v>115</v>
      </c>
      <c r="Q60" s="519"/>
      <c r="R60" s="518" t="s">
        <v>330</v>
      </c>
      <c r="S60" s="520"/>
      <c r="T60" s="520"/>
      <c r="U60" s="519"/>
      <c r="V60" s="504" t="s">
        <v>217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197</v>
      </c>
      <c r="B61" s="507"/>
      <c r="C61" s="232" t="s">
        <v>198</v>
      </c>
      <c r="D61" s="232"/>
      <c r="E61" s="232" t="s">
        <v>192</v>
      </c>
      <c r="F61" s="504" t="s">
        <v>285</v>
      </c>
      <c r="G61" s="505"/>
      <c r="H61" s="505"/>
      <c r="I61" s="505"/>
      <c r="J61" s="505"/>
      <c r="K61" s="505"/>
      <c r="L61" s="505"/>
      <c r="M61" s="506"/>
      <c r="N61" s="240" t="s">
        <v>112</v>
      </c>
      <c r="O61" s="247" t="s">
        <v>201</v>
      </c>
      <c r="P61" s="518" t="s">
        <v>164</v>
      </c>
      <c r="Q61" s="519"/>
      <c r="R61" s="518" t="s">
        <v>362</v>
      </c>
      <c r="S61" s="520"/>
      <c r="T61" s="520"/>
      <c r="U61" s="519"/>
      <c r="V61" s="504" t="s">
        <v>217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134</v>
      </c>
      <c r="B62" s="507"/>
      <c r="C62" s="232" t="s">
        <v>148</v>
      </c>
      <c r="D62" s="232" t="s">
        <v>376</v>
      </c>
      <c r="E62" s="232" t="s">
        <v>373</v>
      </c>
      <c r="F62" s="504" t="s">
        <v>123</v>
      </c>
      <c r="G62" s="505"/>
      <c r="H62" s="505"/>
      <c r="I62" s="505"/>
      <c r="J62" s="505"/>
      <c r="K62" s="505"/>
      <c r="L62" s="505"/>
      <c r="M62" s="506"/>
      <c r="N62" s="235" t="s">
        <v>384</v>
      </c>
      <c r="O62" s="229" t="s">
        <v>379</v>
      </c>
      <c r="P62" s="518" t="s">
        <v>115</v>
      </c>
      <c r="Q62" s="519"/>
      <c r="R62" s="518" t="s">
        <v>383</v>
      </c>
      <c r="S62" s="520"/>
      <c r="T62" s="520"/>
      <c r="U62" s="519"/>
      <c r="V62" s="504" t="s">
        <v>385</v>
      </c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 t="s">
        <v>112</v>
      </c>
      <c r="B63" s="507"/>
      <c r="C63" s="232" t="s">
        <v>379</v>
      </c>
      <c r="D63" s="232" t="s">
        <v>380</v>
      </c>
      <c r="E63" s="232" t="s">
        <v>377</v>
      </c>
      <c r="F63" s="504" t="s">
        <v>378</v>
      </c>
      <c r="G63" s="505"/>
      <c r="H63" s="505"/>
      <c r="I63" s="505"/>
      <c r="J63" s="505"/>
      <c r="K63" s="505"/>
      <c r="L63" s="505"/>
      <c r="M63" s="506"/>
      <c r="N63" s="235" t="s">
        <v>387</v>
      </c>
      <c r="O63" s="229" t="s">
        <v>388</v>
      </c>
      <c r="P63" s="518" t="s">
        <v>389</v>
      </c>
      <c r="Q63" s="519"/>
      <c r="R63" s="518" t="s">
        <v>386</v>
      </c>
      <c r="S63" s="520"/>
      <c r="T63" s="520"/>
      <c r="U63" s="519"/>
      <c r="V63" s="504" t="s">
        <v>385</v>
      </c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/>
      <c r="B64" s="507"/>
      <c r="C64" s="232"/>
      <c r="D64" s="232"/>
      <c r="E64" s="232"/>
      <c r="F64" s="504"/>
      <c r="G64" s="505"/>
      <c r="H64" s="505"/>
      <c r="I64" s="505"/>
      <c r="J64" s="505"/>
      <c r="K64" s="505"/>
      <c r="L64" s="505"/>
      <c r="M64" s="506"/>
      <c r="N64" s="235"/>
      <c r="O64" s="229"/>
      <c r="P64" s="518"/>
      <c r="Q64" s="519"/>
      <c r="R64" s="518"/>
      <c r="S64" s="520"/>
      <c r="T64" s="520"/>
      <c r="U64" s="519"/>
      <c r="V64" s="504"/>
      <c r="W64" s="505"/>
      <c r="X64" s="505"/>
      <c r="Y64" s="505"/>
      <c r="Z64" s="505"/>
      <c r="AA64" s="505"/>
      <c r="AB64" s="505"/>
      <c r="AC64" s="505"/>
      <c r="AD64" s="506"/>
    </row>
    <row r="65" spans="1:32" ht="27" customHeight="1">
      <c r="A65" s="517"/>
      <c r="B65" s="507"/>
      <c r="C65" s="232"/>
      <c r="D65" s="232"/>
      <c r="E65" s="232"/>
      <c r="F65" s="504"/>
      <c r="G65" s="505"/>
      <c r="H65" s="505"/>
      <c r="I65" s="505"/>
      <c r="J65" s="505"/>
      <c r="K65" s="505"/>
      <c r="L65" s="505"/>
      <c r="M65" s="506"/>
      <c r="N65" s="235"/>
      <c r="O65" s="229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231"/>
      <c r="D66" s="231"/>
      <c r="E66" s="232"/>
      <c r="F66" s="504"/>
      <c r="G66" s="505"/>
      <c r="H66" s="505"/>
      <c r="I66" s="505"/>
      <c r="J66" s="505"/>
      <c r="K66" s="505"/>
      <c r="L66" s="505"/>
      <c r="M66" s="506"/>
      <c r="N66" s="235"/>
      <c r="O66" s="229"/>
      <c r="P66" s="518"/>
      <c r="Q66" s="519"/>
      <c r="R66" s="518"/>
      <c r="S66" s="520"/>
      <c r="T66" s="520"/>
      <c r="U66" s="519"/>
      <c r="V66" s="491"/>
      <c r="W66" s="491"/>
      <c r="X66" s="491"/>
      <c r="Y66" s="491"/>
      <c r="Z66" s="491"/>
      <c r="AA66" s="491"/>
      <c r="AB66" s="491"/>
      <c r="AC66" s="491"/>
      <c r="AD66" s="508"/>
    </row>
    <row r="67" spans="1:32" ht="27" customHeight="1">
      <c r="A67" s="502"/>
      <c r="B67" s="503"/>
      <c r="C67" s="231"/>
      <c r="D67" s="231"/>
      <c r="E67" s="232"/>
      <c r="F67" s="504"/>
      <c r="G67" s="505"/>
      <c r="H67" s="505"/>
      <c r="I67" s="505"/>
      <c r="J67" s="505"/>
      <c r="K67" s="505"/>
      <c r="L67" s="505"/>
      <c r="M67" s="506"/>
      <c r="N67" s="235"/>
      <c r="O67" s="229"/>
      <c r="P67" s="507"/>
      <c r="Q67" s="507"/>
      <c r="R67" s="507"/>
      <c r="S67" s="507"/>
      <c r="T67" s="507"/>
      <c r="U67" s="507"/>
      <c r="V67" s="491"/>
      <c r="W67" s="491"/>
      <c r="X67" s="491"/>
      <c r="Y67" s="491"/>
      <c r="Z67" s="491"/>
      <c r="AA67" s="491"/>
      <c r="AB67" s="491"/>
      <c r="AC67" s="491"/>
      <c r="AD67" s="508"/>
      <c r="AF67" s="84">
        <f>8*3000</f>
        <v>24000</v>
      </c>
    </row>
    <row r="68" spans="1:32" ht="27" customHeight="1" thickBot="1">
      <c r="A68" s="509"/>
      <c r="B68" s="510"/>
      <c r="C68" s="233"/>
      <c r="D68" s="234"/>
      <c r="E68" s="233"/>
      <c r="F68" s="511"/>
      <c r="G68" s="512"/>
      <c r="H68" s="512"/>
      <c r="I68" s="512"/>
      <c r="J68" s="512"/>
      <c r="K68" s="512"/>
      <c r="L68" s="512"/>
      <c r="M68" s="513"/>
      <c r="N68" s="111"/>
      <c r="O68" s="103"/>
      <c r="P68" s="514"/>
      <c r="Q68" s="514"/>
      <c r="R68" s="514"/>
      <c r="S68" s="514"/>
      <c r="T68" s="514"/>
      <c r="U68" s="514"/>
      <c r="V68" s="515"/>
      <c r="W68" s="515"/>
      <c r="X68" s="515"/>
      <c r="Y68" s="515"/>
      <c r="Z68" s="515"/>
      <c r="AA68" s="515"/>
      <c r="AB68" s="515"/>
      <c r="AC68" s="515"/>
      <c r="AD68" s="516"/>
      <c r="AF68" s="84">
        <f>16*3000</f>
        <v>48000</v>
      </c>
    </row>
    <row r="69" spans="1:32" ht="27.75" thickBot="1">
      <c r="A69" s="500" t="s">
        <v>390</v>
      </c>
      <c r="B69" s="500"/>
      <c r="C69" s="500"/>
      <c r="D69" s="500"/>
      <c r="E69" s="500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501" t="s">
        <v>111</v>
      </c>
      <c r="B70" s="498"/>
      <c r="C70" s="230" t="s">
        <v>2</v>
      </c>
      <c r="D70" s="230" t="s">
        <v>37</v>
      </c>
      <c r="E70" s="230" t="s">
        <v>3</v>
      </c>
      <c r="F70" s="498" t="s">
        <v>109</v>
      </c>
      <c r="G70" s="498"/>
      <c r="H70" s="498"/>
      <c r="I70" s="498"/>
      <c r="J70" s="498"/>
      <c r="K70" s="498" t="s">
        <v>39</v>
      </c>
      <c r="L70" s="498"/>
      <c r="M70" s="230" t="s">
        <v>40</v>
      </c>
      <c r="N70" s="498" t="s">
        <v>41</v>
      </c>
      <c r="O70" s="498"/>
      <c r="P70" s="495" t="s">
        <v>42</v>
      </c>
      <c r="Q70" s="497"/>
      <c r="R70" s="495" t="s">
        <v>43</v>
      </c>
      <c r="S70" s="496"/>
      <c r="T70" s="496"/>
      <c r="U70" s="496"/>
      <c r="V70" s="496"/>
      <c r="W70" s="496"/>
      <c r="X70" s="496"/>
      <c r="Y70" s="496"/>
      <c r="Z70" s="496"/>
      <c r="AA70" s="497"/>
      <c r="AB70" s="498" t="s">
        <v>44</v>
      </c>
      <c r="AC70" s="498"/>
      <c r="AD70" s="499"/>
      <c r="AF70" s="84">
        <f>SUM(AF67:AF69)</f>
        <v>96000</v>
      </c>
    </row>
    <row r="71" spans="1:32" ht="25.5" customHeight="1">
      <c r="A71" s="486">
        <v>1</v>
      </c>
      <c r="B71" s="487"/>
      <c r="C71" s="104" t="s">
        <v>392</v>
      </c>
      <c r="D71" s="225"/>
      <c r="E71" s="228" t="s">
        <v>393</v>
      </c>
      <c r="F71" s="488" t="s">
        <v>391</v>
      </c>
      <c r="G71" s="478"/>
      <c r="H71" s="478"/>
      <c r="I71" s="478"/>
      <c r="J71" s="478"/>
      <c r="K71" s="478" t="s">
        <v>394</v>
      </c>
      <c r="L71" s="478"/>
      <c r="M71" s="51" t="s">
        <v>395</v>
      </c>
      <c r="N71" s="489" t="s">
        <v>396</v>
      </c>
      <c r="O71" s="489"/>
      <c r="P71" s="490"/>
      <c r="Q71" s="490"/>
      <c r="R71" s="491" t="s">
        <v>397</v>
      </c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2</v>
      </c>
      <c r="B72" s="487"/>
      <c r="C72" s="104"/>
      <c r="D72" s="225"/>
      <c r="E72" s="228"/>
      <c r="F72" s="492"/>
      <c r="G72" s="493"/>
      <c r="H72" s="493"/>
      <c r="I72" s="493"/>
      <c r="J72" s="494"/>
      <c r="K72" s="478"/>
      <c r="L72" s="478"/>
      <c r="M72" s="51"/>
      <c r="N72" s="489"/>
      <c r="O72" s="489"/>
      <c r="P72" s="490"/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3</v>
      </c>
      <c r="B73" s="487"/>
      <c r="C73" s="104"/>
      <c r="D73" s="225"/>
      <c r="E73" s="228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4</v>
      </c>
      <c r="B74" s="487"/>
      <c r="C74" s="104"/>
      <c r="D74" s="225"/>
      <c r="E74" s="228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5</v>
      </c>
      <c r="B75" s="487"/>
      <c r="C75" s="104"/>
      <c r="D75" s="225"/>
      <c r="E75" s="228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6</v>
      </c>
      <c r="B76" s="487"/>
      <c r="C76" s="104"/>
      <c r="D76" s="225"/>
      <c r="E76" s="228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7</v>
      </c>
      <c r="B77" s="487"/>
      <c r="C77" s="104"/>
      <c r="D77" s="225"/>
      <c r="E77" s="228"/>
      <c r="F77" s="492"/>
      <c r="G77" s="493"/>
      <c r="H77" s="493"/>
      <c r="I77" s="493"/>
      <c r="J77" s="494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8</v>
      </c>
      <c r="B78" s="487"/>
      <c r="C78" s="104"/>
      <c r="D78" s="225"/>
      <c r="E78" s="228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9</v>
      </c>
      <c r="B79" s="487"/>
      <c r="C79" s="104"/>
      <c r="D79" s="225"/>
      <c r="E79" s="228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5.5" customHeight="1">
      <c r="A80" s="486">
        <v>10</v>
      </c>
      <c r="B80" s="487"/>
      <c r="C80" s="104"/>
      <c r="D80" s="225"/>
      <c r="E80" s="228"/>
      <c r="F80" s="488"/>
      <c r="G80" s="478"/>
      <c r="H80" s="478"/>
      <c r="I80" s="478"/>
      <c r="J80" s="478"/>
      <c r="K80" s="478"/>
      <c r="L80" s="478"/>
      <c r="M80" s="51"/>
      <c r="N80" s="489"/>
      <c r="O80" s="489"/>
      <c r="P80" s="490"/>
      <c r="Q80" s="490"/>
      <c r="R80" s="491"/>
      <c r="S80" s="491"/>
      <c r="T80" s="491"/>
      <c r="U80" s="491"/>
      <c r="V80" s="491"/>
      <c r="W80" s="491"/>
      <c r="X80" s="491"/>
      <c r="Y80" s="491"/>
      <c r="Z80" s="491"/>
      <c r="AA80" s="491"/>
      <c r="AB80" s="478"/>
      <c r="AC80" s="478"/>
      <c r="AD80" s="479"/>
      <c r="AF80" s="50"/>
    </row>
    <row r="81" spans="1:32" ht="26.25" customHeight="1" thickBot="1">
      <c r="A81" s="458" t="s">
        <v>398</v>
      </c>
      <c r="B81" s="458"/>
      <c r="C81" s="458"/>
      <c r="D81" s="458"/>
      <c r="E81" s="458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80" t="s">
        <v>111</v>
      </c>
      <c r="B82" s="481"/>
      <c r="C82" s="227" t="s">
        <v>2</v>
      </c>
      <c r="D82" s="227" t="s">
        <v>37</v>
      </c>
      <c r="E82" s="227" t="s">
        <v>120</v>
      </c>
      <c r="F82" s="460" t="s">
        <v>38</v>
      </c>
      <c r="G82" s="460"/>
      <c r="H82" s="460"/>
      <c r="I82" s="460"/>
      <c r="J82" s="460"/>
      <c r="K82" s="482" t="s">
        <v>58</v>
      </c>
      <c r="L82" s="483"/>
      <c r="M82" s="483"/>
      <c r="N82" s="483"/>
      <c r="O82" s="483"/>
      <c r="P82" s="483"/>
      <c r="Q82" s="483"/>
      <c r="R82" s="483"/>
      <c r="S82" s="484"/>
      <c r="T82" s="460" t="s">
        <v>49</v>
      </c>
      <c r="U82" s="460"/>
      <c r="V82" s="482" t="s">
        <v>50</v>
      </c>
      <c r="W82" s="484"/>
      <c r="X82" s="483" t="s">
        <v>51</v>
      </c>
      <c r="Y82" s="483"/>
      <c r="Z82" s="483"/>
      <c r="AA82" s="483"/>
      <c r="AB82" s="483"/>
      <c r="AC82" s="483"/>
      <c r="AD82" s="485"/>
      <c r="AF82" s="50"/>
    </row>
    <row r="83" spans="1:32" ht="33.75" customHeight="1">
      <c r="A83" s="452">
        <v>1</v>
      </c>
      <c r="B83" s="453"/>
      <c r="C83" s="226"/>
      <c r="D83" s="226"/>
      <c r="E83" s="65"/>
      <c r="F83" s="467"/>
      <c r="G83" s="468"/>
      <c r="H83" s="468"/>
      <c r="I83" s="468"/>
      <c r="J83" s="469"/>
      <c r="K83" s="470"/>
      <c r="L83" s="471"/>
      <c r="M83" s="471"/>
      <c r="N83" s="471"/>
      <c r="O83" s="471"/>
      <c r="P83" s="471"/>
      <c r="Q83" s="471"/>
      <c r="R83" s="471"/>
      <c r="S83" s="472"/>
      <c r="T83" s="473"/>
      <c r="U83" s="474"/>
      <c r="V83" s="475"/>
      <c r="W83" s="475"/>
      <c r="X83" s="476"/>
      <c r="Y83" s="476"/>
      <c r="Z83" s="476"/>
      <c r="AA83" s="476"/>
      <c r="AB83" s="476"/>
      <c r="AC83" s="476"/>
      <c r="AD83" s="477"/>
      <c r="AF83" s="50"/>
    </row>
    <row r="84" spans="1:32" ht="30" customHeight="1">
      <c r="A84" s="445">
        <f>A83+1</f>
        <v>2</v>
      </c>
      <c r="B84" s="446"/>
      <c r="C84" s="225"/>
      <c r="D84" s="225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ref="A85:A89" si="19">A84+1</f>
        <v>3</v>
      </c>
      <c r="B85" s="446"/>
      <c r="C85" s="225"/>
      <c r="D85" s="225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9"/>
        <v>4</v>
      </c>
      <c r="B86" s="446"/>
      <c r="C86" s="225"/>
      <c r="D86" s="225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9"/>
        <v>5</v>
      </c>
      <c r="B87" s="446"/>
      <c r="C87" s="225"/>
      <c r="D87" s="225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9"/>
        <v>6</v>
      </c>
      <c r="B88" s="446"/>
      <c r="C88" s="225"/>
      <c r="D88" s="225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0" customHeight="1">
      <c r="A89" s="445">
        <f t="shared" si="19"/>
        <v>7</v>
      </c>
      <c r="B89" s="446"/>
      <c r="C89" s="225"/>
      <c r="D89" s="225"/>
      <c r="E89" s="32"/>
      <c r="F89" s="446"/>
      <c r="G89" s="446"/>
      <c r="H89" s="446"/>
      <c r="I89" s="446"/>
      <c r="J89" s="446"/>
      <c r="K89" s="461"/>
      <c r="L89" s="462"/>
      <c r="M89" s="462"/>
      <c r="N89" s="462"/>
      <c r="O89" s="462"/>
      <c r="P89" s="462"/>
      <c r="Q89" s="462"/>
      <c r="R89" s="462"/>
      <c r="S89" s="463"/>
      <c r="T89" s="464"/>
      <c r="U89" s="464"/>
      <c r="V89" s="464"/>
      <c r="W89" s="464"/>
      <c r="X89" s="465"/>
      <c r="Y89" s="465"/>
      <c r="Z89" s="465"/>
      <c r="AA89" s="465"/>
      <c r="AB89" s="465"/>
      <c r="AC89" s="465"/>
      <c r="AD89" s="466"/>
      <c r="AF89" s="50"/>
    </row>
    <row r="90" spans="1:32" ht="36" thickBot="1">
      <c r="A90" s="458" t="s">
        <v>399</v>
      </c>
      <c r="B90" s="458"/>
      <c r="C90" s="458"/>
      <c r="D90" s="458"/>
      <c r="E90" s="458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59" t="s">
        <v>111</v>
      </c>
      <c r="B91" s="460"/>
      <c r="C91" s="450" t="s">
        <v>52</v>
      </c>
      <c r="D91" s="450"/>
      <c r="E91" s="450" t="s">
        <v>53</v>
      </c>
      <c r="F91" s="450"/>
      <c r="G91" s="450"/>
      <c r="H91" s="450"/>
      <c r="I91" s="450"/>
      <c r="J91" s="450"/>
      <c r="K91" s="450" t="s">
        <v>54</v>
      </c>
      <c r="L91" s="450"/>
      <c r="M91" s="450"/>
      <c r="N91" s="450"/>
      <c r="O91" s="450"/>
      <c r="P91" s="450"/>
      <c r="Q91" s="450"/>
      <c r="R91" s="450"/>
      <c r="S91" s="450"/>
      <c r="T91" s="450" t="s">
        <v>55</v>
      </c>
      <c r="U91" s="450"/>
      <c r="V91" s="450" t="s">
        <v>56</v>
      </c>
      <c r="W91" s="450"/>
      <c r="X91" s="450"/>
      <c r="Y91" s="450" t="s">
        <v>51</v>
      </c>
      <c r="Z91" s="450"/>
      <c r="AA91" s="450"/>
      <c r="AB91" s="450"/>
      <c r="AC91" s="450"/>
      <c r="AD91" s="451"/>
      <c r="AF91" s="50"/>
    </row>
    <row r="92" spans="1:32" ht="30.75" customHeight="1">
      <c r="A92" s="452">
        <v>1</v>
      </c>
      <c r="B92" s="453"/>
      <c r="C92" s="454">
        <v>9</v>
      </c>
      <c r="D92" s="454"/>
      <c r="E92" s="454" t="s">
        <v>124</v>
      </c>
      <c r="F92" s="454"/>
      <c r="G92" s="454"/>
      <c r="H92" s="454"/>
      <c r="I92" s="454"/>
      <c r="J92" s="454"/>
      <c r="K92" s="454" t="s">
        <v>129</v>
      </c>
      <c r="L92" s="454"/>
      <c r="M92" s="454"/>
      <c r="N92" s="454"/>
      <c r="O92" s="454"/>
      <c r="P92" s="454"/>
      <c r="Q92" s="454"/>
      <c r="R92" s="454"/>
      <c r="S92" s="454"/>
      <c r="T92" s="454" t="s">
        <v>125</v>
      </c>
      <c r="U92" s="454"/>
      <c r="V92" s="455">
        <v>1900000</v>
      </c>
      <c r="W92" s="455"/>
      <c r="X92" s="455"/>
      <c r="Y92" s="456"/>
      <c r="Z92" s="456"/>
      <c r="AA92" s="456"/>
      <c r="AB92" s="456"/>
      <c r="AC92" s="456"/>
      <c r="AD92" s="457"/>
      <c r="AF92" s="50"/>
    </row>
    <row r="93" spans="1:32" ht="30.75" customHeight="1">
      <c r="A93" s="445">
        <v>2</v>
      </c>
      <c r="B93" s="446"/>
      <c r="C93" s="447"/>
      <c r="D93" s="447"/>
      <c r="E93" s="447"/>
      <c r="F93" s="447"/>
      <c r="G93" s="447"/>
      <c r="H93" s="447"/>
      <c r="I93" s="447"/>
      <c r="J93" s="447"/>
      <c r="K93" s="447"/>
      <c r="L93" s="447"/>
      <c r="M93" s="447"/>
      <c r="N93" s="447"/>
      <c r="O93" s="447"/>
      <c r="P93" s="447"/>
      <c r="Q93" s="447"/>
      <c r="R93" s="447"/>
      <c r="S93" s="447"/>
      <c r="T93" s="448"/>
      <c r="U93" s="448"/>
      <c r="V93" s="449"/>
      <c r="W93" s="449"/>
      <c r="X93" s="449"/>
      <c r="Y93" s="437"/>
      <c r="Z93" s="437"/>
      <c r="AA93" s="437"/>
      <c r="AB93" s="437"/>
      <c r="AC93" s="437"/>
      <c r="AD93" s="438"/>
      <c r="AF93" s="50"/>
    </row>
    <row r="94" spans="1:32" ht="30.75" customHeight="1" thickBot="1">
      <c r="A94" s="439">
        <v>3</v>
      </c>
      <c r="B94" s="440"/>
      <c r="C94" s="441"/>
      <c r="D94" s="441"/>
      <c r="E94" s="441"/>
      <c r="F94" s="441"/>
      <c r="G94" s="441"/>
      <c r="H94" s="441"/>
      <c r="I94" s="441"/>
      <c r="J94" s="441"/>
      <c r="K94" s="441"/>
      <c r="L94" s="441"/>
      <c r="M94" s="441"/>
      <c r="N94" s="441"/>
      <c r="O94" s="441"/>
      <c r="P94" s="441"/>
      <c r="Q94" s="441"/>
      <c r="R94" s="441"/>
      <c r="S94" s="441"/>
      <c r="T94" s="441"/>
      <c r="U94" s="441"/>
      <c r="V94" s="442"/>
      <c r="W94" s="442"/>
      <c r="X94" s="442"/>
      <c r="Y94" s="443"/>
      <c r="Z94" s="443"/>
      <c r="AA94" s="443"/>
      <c r="AB94" s="443"/>
      <c r="AC94" s="443"/>
      <c r="AD94" s="444"/>
      <c r="AF94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E1FA-F156-43E6-80A7-E784F766244F}">
  <sheetPr>
    <pageSetUpPr fitToPage="1"/>
  </sheetPr>
  <dimension ref="A1:AF93"/>
  <sheetViews>
    <sheetView view="pageBreakPreview" topLeftCell="A43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400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238" t="s">
        <v>17</v>
      </c>
      <c r="L5" s="238" t="s">
        <v>18</v>
      </c>
      <c r="M5" s="238" t="s">
        <v>19</v>
      </c>
      <c r="N5" s="23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323</v>
      </c>
      <c r="E6" s="53" t="s">
        <v>361</v>
      </c>
      <c r="F6" s="30" t="s">
        <v>211</v>
      </c>
      <c r="G6" s="12">
        <v>1</v>
      </c>
      <c r="H6" s="13">
        <v>24</v>
      </c>
      <c r="I6" s="31">
        <v>3200</v>
      </c>
      <c r="J6" s="14">
        <v>1524</v>
      </c>
      <c r="K6" s="15">
        <f>L6+2665</f>
        <v>4189</v>
      </c>
      <c r="L6" s="15">
        <v>1524</v>
      </c>
      <c r="M6" s="15">
        <f t="shared" ref="M6:M27" si="0">L6-N6</f>
        <v>1524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7</v>
      </c>
      <c r="Q6" s="40">
        <f t="shared" ref="Q6:Q27" si="3">SUM(R6:AA6)</f>
        <v>17</v>
      </c>
      <c r="R6" s="7"/>
      <c r="S6" s="6"/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0.29166666666666669</v>
      </c>
      <c r="AD6" s="10">
        <f t="shared" ref="AD6:AD27" si="6">AC6*AB6*(1-O6)</f>
        <v>0.29166666666666669</v>
      </c>
      <c r="AE6" s="36">
        <f t="shared" ref="AE6:AE27" si="7">$AD$28</f>
        <v>0.48295454545454547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12736</v>
      </c>
      <c r="K7" s="15">
        <f>L7+4540+5413+4776+3810+3773+2780+4786+5910+5528+3614+7707+9828+3822+6888+11032+9113+10064+12756+9446+2965+8390+12796+12772+12708</f>
        <v>187953</v>
      </c>
      <c r="L7" s="15">
        <f>3203*2+3165*2</f>
        <v>12736</v>
      </c>
      <c r="M7" s="15">
        <f t="shared" si="0"/>
        <v>12736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0.48295454545454547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126000</v>
      </c>
      <c r="J8" s="14">
        <v>11268</v>
      </c>
      <c r="K8" s="15">
        <f>L8+1708+5184+11810+11756+5148+11086+11698+11644+7968</f>
        <v>89270</v>
      </c>
      <c r="L8" s="15">
        <f>2911*2+2723*2</f>
        <v>11268</v>
      </c>
      <c r="M8" s="15">
        <f t="shared" si="0"/>
        <v>11268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0.48295454545454547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197</v>
      </c>
      <c r="D9" s="52"/>
      <c r="E9" s="53" t="s">
        <v>193</v>
      </c>
      <c r="F9" s="30" t="s">
        <v>212</v>
      </c>
      <c r="G9" s="12">
        <v>2</v>
      </c>
      <c r="H9" s="13">
        <v>24</v>
      </c>
      <c r="I9" s="7">
        <v>126000</v>
      </c>
      <c r="J9" s="14">
        <v>12346</v>
      </c>
      <c r="K9" s="15">
        <f>L9+11914+12528+12574+9262+2544+9278+12614+12560+12426</f>
        <v>108046</v>
      </c>
      <c r="L9" s="15">
        <f>3137*2+3036*2</f>
        <v>12346</v>
      </c>
      <c r="M9" s="15">
        <f t="shared" si="0"/>
        <v>12346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0.48295454545454547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126000</v>
      </c>
      <c r="J10" s="14">
        <v>12546</v>
      </c>
      <c r="K10" s="15">
        <f>L10+11830+12840+12918+12834+5574+11176+13572+8552+12834</f>
        <v>114676</v>
      </c>
      <c r="L10" s="15">
        <f>3229*2+3044*2</f>
        <v>12546</v>
      </c>
      <c r="M10" s="15">
        <f t="shared" si="0"/>
        <v>12546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0.48295454545454547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164</v>
      </c>
      <c r="E11" s="53" t="s">
        <v>362</v>
      </c>
      <c r="F11" s="30" t="s">
        <v>126</v>
      </c>
      <c r="G11" s="33">
        <v>1</v>
      </c>
      <c r="H11" s="35">
        <v>24</v>
      </c>
      <c r="I11" s="7">
        <v>6000</v>
      </c>
      <c r="J11" s="14">
        <v>5463</v>
      </c>
      <c r="K11" s="15">
        <f>L11</f>
        <v>5463</v>
      </c>
      <c r="L11" s="15">
        <f>2751+2712</f>
        <v>5463</v>
      </c>
      <c r="M11" s="15">
        <f t="shared" si="0"/>
        <v>5463</v>
      </c>
      <c r="N11" s="15">
        <v>0</v>
      </c>
      <c r="O11" s="58">
        <f t="shared" si="1"/>
        <v>0</v>
      </c>
      <c r="P11" s="39">
        <f t="shared" si="2"/>
        <v>23</v>
      </c>
      <c r="Q11" s="40">
        <f t="shared" si="3"/>
        <v>1</v>
      </c>
      <c r="R11" s="7"/>
      <c r="S11" s="6">
        <v>1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0.95833333333333337</v>
      </c>
      <c r="AD11" s="10">
        <f t="shared" si="6"/>
        <v>0.95833333333333337</v>
      </c>
      <c r="AE11" s="36">
        <f t="shared" si="7"/>
        <v>0.48295454545454547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383</v>
      </c>
      <c r="F12" s="30" t="s">
        <v>278</v>
      </c>
      <c r="G12" s="12">
        <v>4</v>
      </c>
      <c r="H12" s="13">
        <v>22</v>
      </c>
      <c r="I12" s="31">
        <v>20000</v>
      </c>
      <c r="J12" s="5">
        <v>18572</v>
      </c>
      <c r="K12" s="15">
        <f>L12</f>
        <v>18572</v>
      </c>
      <c r="L12" s="15">
        <f>3003*4+1640*4</f>
        <v>18572</v>
      </c>
      <c r="M12" s="15">
        <f t="shared" si="0"/>
        <v>18572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6"/>
        <v>0.91666666666666663</v>
      </c>
      <c r="AE12" s="36">
        <f t="shared" si="7"/>
        <v>0.48295454545454547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202</v>
      </c>
      <c r="E13" s="53" t="s">
        <v>237</v>
      </c>
      <c r="F13" s="30" t="s">
        <v>126</v>
      </c>
      <c r="G13" s="33">
        <v>4</v>
      </c>
      <c r="H13" s="35">
        <v>22</v>
      </c>
      <c r="I13" s="7">
        <v>150000</v>
      </c>
      <c r="J13" s="14">
        <v>16836</v>
      </c>
      <c r="K13" s="15">
        <f>L13+16648+26288+26040+10860+25404+20780+26076+26112</f>
        <v>195044</v>
      </c>
      <c r="L13" s="15">
        <f>850*4+100*3+3284*4</f>
        <v>16836</v>
      </c>
      <c r="M13" s="15">
        <f t="shared" si="0"/>
        <v>16836</v>
      </c>
      <c r="N13" s="15">
        <v>0</v>
      </c>
      <c r="O13" s="58">
        <f t="shared" si="1"/>
        <v>0</v>
      </c>
      <c r="P13" s="39">
        <f t="shared" si="2"/>
        <v>18</v>
      </c>
      <c r="Q13" s="40">
        <f t="shared" si="3"/>
        <v>6</v>
      </c>
      <c r="R13" s="7">
        <v>6</v>
      </c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0.75</v>
      </c>
      <c r="AD13" s="10">
        <f t="shared" si="6"/>
        <v>0.75</v>
      </c>
      <c r="AE13" s="36">
        <f t="shared" si="7"/>
        <v>0.48295454545454547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294</v>
      </c>
      <c r="F14" s="30" t="s">
        <v>149</v>
      </c>
      <c r="G14" s="33">
        <v>1</v>
      </c>
      <c r="H14" s="35">
        <v>30</v>
      </c>
      <c r="I14" s="7">
        <v>100</v>
      </c>
      <c r="J14" s="5">
        <v>100</v>
      </c>
      <c r="K14" s="15">
        <f>L14+100</f>
        <v>100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0.48295454545454547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0.48295454545454547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330</v>
      </c>
      <c r="F16" s="30" t="s">
        <v>136</v>
      </c>
      <c r="G16" s="12">
        <v>1</v>
      </c>
      <c r="H16" s="13">
        <v>24</v>
      </c>
      <c r="I16" s="7">
        <v>6500</v>
      </c>
      <c r="J16" s="14">
        <v>2602</v>
      </c>
      <c r="K16" s="15">
        <f>L16</f>
        <v>2602</v>
      </c>
      <c r="L16" s="15">
        <f>2602</f>
        <v>2602</v>
      </c>
      <c r="M16" s="15">
        <f t="shared" si="0"/>
        <v>2602</v>
      </c>
      <c r="N16" s="15">
        <v>0</v>
      </c>
      <c r="O16" s="58">
        <f t="shared" si="1"/>
        <v>0</v>
      </c>
      <c r="P16" s="39">
        <f t="shared" si="2"/>
        <v>14</v>
      </c>
      <c r="Q16" s="40">
        <f t="shared" si="3"/>
        <v>10</v>
      </c>
      <c r="R16" s="7"/>
      <c r="S16" s="6">
        <v>10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0.58333333333333337</v>
      </c>
      <c r="AD16" s="10">
        <f t="shared" si="6"/>
        <v>0.58333333333333337</v>
      </c>
      <c r="AE16" s="36">
        <f t="shared" si="7"/>
        <v>0.48295454545454547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28200</v>
      </c>
      <c r="K17" s="15">
        <f>L17+26370+39325+19755+18405+40885+18620+38310+41130+40940+28200</f>
        <v>311940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0.48295454545454547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134</v>
      </c>
      <c r="D18" s="52" t="s">
        <v>225</v>
      </c>
      <c r="E18" s="53" t="s">
        <v>386</v>
      </c>
      <c r="F18" s="30" t="s">
        <v>149</v>
      </c>
      <c r="G18" s="33">
        <v>1</v>
      </c>
      <c r="H18" s="35">
        <v>24</v>
      </c>
      <c r="I18" s="7">
        <v>2000</v>
      </c>
      <c r="J18" s="14">
        <v>3877</v>
      </c>
      <c r="K18" s="15">
        <f>L18</f>
        <v>3877</v>
      </c>
      <c r="L18" s="15">
        <f>2238+1639</f>
        <v>3877</v>
      </c>
      <c r="M18" s="15">
        <f t="shared" si="0"/>
        <v>3877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>
        <v>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 t="shared" si="7"/>
        <v>0.48295454545454547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401</v>
      </c>
      <c r="F19" s="30" t="s">
        <v>127</v>
      </c>
      <c r="G19" s="33">
        <v>1</v>
      </c>
      <c r="H19" s="35">
        <v>24</v>
      </c>
      <c r="I19" s="7">
        <v>20000</v>
      </c>
      <c r="J19" s="14">
        <v>2290</v>
      </c>
      <c r="K19" s="15">
        <f>L19</f>
        <v>2290</v>
      </c>
      <c r="L19" s="15">
        <f>2290</f>
        <v>2290</v>
      </c>
      <c r="M19" s="15">
        <f t="shared" si="0"/>
        <v>2290</v>
      </c>
      <c r="N19" s="15">
        <v>0</v>
      </c>
      <c r="O19" s="58">
        <f t="shared" si="1"/>
        <v>0</v>
      </c>
      <c r="P19" s="39">
        <f t="shared" si="2"/>
        <v>13</v>
      </c>
      <c r="Q19" s="40">
        <f t="shared" si="3"/>
        <v>11</v>
      </c>
      <c r="R19" s="7"/>
      <c r="S19" s="6">
        <v>11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0.54166666666666663</v>
      </c>
      <c r="AD19" s="10">
        <f t="shared" si="6"/>
        <v>0.54166666666666663</v>
      </c>
      <c r="AE19" s="36">
        <f t="shared" si="7"/>
        <v>0.48295454545454547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133</v>
      </c>
      <c r="E20" s="53" t="s">
        <v>221</v>
      </c>
      <c r="F20" s="30" t="s">
        <v>127</v>
      </c>
      <c r="G20" s="12">
        <v>2</v>
      </c>
      <c r="H20" s="13">
        <v>24</v>
      </c>
      <c r="I20" s="7">
        <v>150000</v>
      </c>
      <c r="J20" s="14">
        <v>15424</v>
      </c>
      <c r="K20" s="15">
        <f>L20+20020+14558+6956+4260+13958+8440+18763+11805</f>
        <v>114184</v>
      </c>
      <c r="L20" s="15">
        <f>1350*4+2064*3+958*4</f>
        <v>15424</v>
      </c>
      <c r="M20" s="15">
        <f t="shared" si="0"/>
        <v>15424</v>
      </c>
      <c r="N20" s="15">
        <v>0</v>
      </c>
      <c r="O20" s="58">
        <f t="shared" si="1"/>
        <v>0</v>
      </c>
      <c r="P20" s="39">
        <f t="shared" si="2"/>
        <v>18</v>
      </c>
      <c r="Q20" s="40">
        <f t="shared" si="3"/>
        <v>6</v>
      </c>
      <c r="R20" s="7"/>
      <c r="S20" s="6">
        <v>6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0.75</v>
      </c>
      <c r="AD20" s="10">
        <f t="shared" si="6"/>
        <v>0.75</v>
      </c>
      <c r="AE20" s="36">
        <f t="shared" si="7"/>
        <v>0.48295454545454547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61480</v>
      </c>
      <c r="K21" s="15">
        <f>L21+50740+61508+62116+62068+58848+54656+61696+61724+33064+28160+54396+62000+61828+61480</f>
        <v>774284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0.48295454545454547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0.48295454545454547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0.48295454545454547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0.48295454545454547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0.48295454545454547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0.48295454545454547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552288</v>
      </c>
      <c r="K27" s="15">
        <f>L27+396032+523136</f>
        <v>1471456</v>
      </c>
      <c r="L27" s="15">
        <f>9937*32+7322*32</f>
        <v>552288</v>
      </c>
      <c r="M27" s="15">
        <f t="shared" si="0"/>
        <v>552288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20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6"/>
        <v>1</v>
      </c>
      <c r="AE27" s="36">
        <f t="shared" si="7"/>
        <v>0.48295454545454547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4787800</v>
      </c>
      <c r="J28" s="19">
        <f t="shared" si="9"/>
        <v>808684</v>
      </c>
      <c r="K28" s="20">
        <f t="shared" si="9"/>
        <v>4149322</v>
      </c>
      <c r="L28" s="21">
        <f t="shared" si="9"/>
        <v>667772</v>
      </c>
      <c r="M28" s="20">
        <f t="shared" si="9"/>
        <v>667772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255</v>
      </c>
      <c r="Q28" s="43">
        <f t="shared" si="10"/>
        <v>273</v>
      </c>
      <c r="R28" s="23">
        <f t="shared" si="10"/>
        <v>6</v>
      </c>
      <c r="S28" s="24">
        <f t="shared" si="10"/>
        <v>34</v>
      </c>
      <c r="T28" s="24">
        <f t="shared" si="10"/>
        <v>0</v>
      </c>
      <c r="U28" s="24">
        <f t="shared" si="10"/>
        <v>0</v>
      </c>
      <c r="V28" s="25">
        <f t="shared" si="10"/>
        <v>24</v>
      </c>
      <c r="W28" s="26">
        <f t="shared" si="10"/>
        <v>185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24</v>
      </c>
      <c r="AB28" s="28">
        <f>AVERAGE(AB6:AB27)</f>
        <v>0.65</v>
      </c>
      <c r="AC28" s="4">
        <f>AVERAGE(AC6:AC27)</f>
        <v>0.48295454545454547</v>
      </c>
      <c r="AD28" s="4">
        <f>AVERAGE(AD6:AD27)</f>
        <v>0.48295454545454547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415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416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239" t="s">
        <v>46</v>
      </c>
      <c r="D57" s="239" t="s">
        <v>47</v>
      </c>
      <c r="E57" s="239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239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241" t="s">
        <v>220</v>
      </c>
      <c r="D58" s="241" t="s">
        <v>133</v>
      </c>
      <c r="E58" s="241" t="s">
        <v>221</v>
      </c>
      <c r="F58" s="504" t="s">
        <v>402</v>
      </c>
      <c r="G58" s="505"/>
      <c r="H58" s="505"/>
      <c r="I58" s="505"/>
      <c r="J58" s="505"/>
      <c r="K58" s="505"/>
      <c r="L58" s="505"/>
      <c r="M58" s="506"/>
      <c r="N58" s="240" t="s">
        <v>112</v>
      </c>
      <c r="O58" s="247" t="s">
        <v>220</v>
      </c>
      <c r="P58" s="518" t="s">
        <v>133</v>
      </c>
      <c r="Q58" s="519"/>
      <c r="R58" s="518" t="s">
        <v>221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252" t="s">
        <v>201</v>
      </c>
      <c r="D59" s="252" t="s">
        <v>164</v>
      </c>
      <c r="E59" s="252" t="s">
        <v>362</v>
      </c>
      <c r="F59" s="504" t="s">
        <v>256</v>
      </c>
      <c r="G59" s="505"/>
      <c r="H59" s="505"/>
      <c r="I59" s="505"/>
      <c r="J59" s="505"/>
      <c r="K59" s="505"/>
      <c r="L59" s="505"/>
      <c r="M59" s="506"/>
      <c r="N59" s="253" t="s">
        <v>112</v>
      </c>
      <c r="O59" s="251" t="s">
        <v>201</v>
      </c>
      <c r="P59" s="518" t="s">
        <v>164</v>
      </c>
      <c r="Q59" s="519"/>
      <c r="R59" s="518" t="s">
        <v>362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241" t="s">
        <v>240</v>
      </c>
      <c r="D60" s="241" t="s">
        <v>403</v>
      </c>
      <c r="E60" s="241" t="s">
        <v>237</v>
      </c>
      <c r="F60" s="504" t="s">
        <v>404</v>
      </c>
      <c r="G60" s="505"/>
      <c r="H60" s="505"/>
      <c r="I60" s="505"/>
      <c r="J60" s="505"/>
      <c r="K60" s="505"/>
      <c r="L60" s="505"/>
      <c r="M60" s="506"/>
      <c r="N60" s="240" t="s">
        <v>116</v>
      </c>
      <c r="O60" s="247" t="s">
        <v>414</v>
      </c>
      <c r="P60" s="518" t="s">
        <v>417</v>
      </c>
      <c r="Q60" s="519"/>
      <c r="R60" s="518" t="s">
        <v>418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134</v>
      </c>
      <c r="B61" s="507"/>
      <c r="C61" s="241" t="s">
        <v>148</v>
      </c>
      <c r="D61" s="241" t="s">
        <v>225</v>
      </c>
      <c r="E61" s="241" t="s">
        <v>386</v>
      </c>
      <c r="F61" s="504" t="s">
        <v>405</v>
      </c>
      <c r="G61" s="505"/>
      <c r="H61" s="505"/>
      <c r="I61" s="505"/>
      <c r="J61" s="505"/>
      <c r="K61" s="505"/>
      <c r="L61" s="505"/>
      <c r="M61" s="506"/>
      <c r="N61" s="240" t="s">
        <v>384</v>
      </c>
      <c r="O61" s="247" t="s">
        <v>186</v>
      </c>
      <c r="P61" s="518" t="s">
        <v>137</v>
      </c>
      <c r="Q61" s="519"/>
      <c r="R61" s="518" t="s">
        <v>419</v>
      </c>
      <c r="S61" s="520"/>
      <c r="T61" s="520"/>
      <c r="U61" s="519"/>
      <c r="V61" s="504" t="s">
        <v>385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112</v>
      </c>
      <c r="B62" s="507"/>
      <c r="C62" s="241" t="s">
        <v>190</v>
      </c>
      <c r="D62" s="241" t="s">
        <v>133</v>
      </c>
      <c r="E62" s="241" t="s">
        <v>401</v>
      </c>
      <c r="F62" s="504" t="s">
        <v>406</v>
      </c>
      <c r="G62" s="505"/>
      <c r="H62" s="505"/>
      <c r="I62" s="505"/>
      <c r="J62" s="505"/>
      <c r="K62" s="505"/>
      <c r="L62" s="505"/>
      <c r="M62" s="506"/>
      <c r="N62" s="240" t="s">
        <v>387</v>
      </c>
      <c r="O62" s="247" t="s">
        <v>388</v>
      </c>
      <c r="P62" s="518" t="s">
        <v>115</v>
      </c>
      <c r="Q62" s="519"/>
      <c r="R62" s="518" t="s">
        <v>420</v>
      </c>
      <c r="S62" s="520"/>
      <c r="T62" s="520"/>
      <c r="U62" s="519"/>
      <c r="V62" s="504" t="s">
        <v>385</v>
      </c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 t="s">
        <v>112</v>
      </c>
      <c r="B63" s="507"/>
      <c r="C63" s="241" t="s">
        <v>407</v>
      </c>
      <c r="D63" s="241" t="s">
        <v>408</v>
      </c>
      <c r="E63" s="241" t="s">
        <v>409</v>
      </c>
      <c r="F63" s="504" t="s">
        <v>410</v>
      </c>
      <c r="G63" s="505"/>
      <c r="H63" s="505"/>
      <c r="I63" s="505"/>
      <c r="J63" s="505"/>
      <c r="K63" s="505"/>
      <c r="L63" s="505"/>
      <c r="M63" s="506"/>
      <c r="N63" s="240" t="s">
        <v>134</v>
      </c>
      <c r="O63" s="247" t="s">
        <v>421</v>
      </c>
      <c r="P63" s="518" t="s">
        <v>137</v>
      </c>
      <c r="Q63" s="519"/>
      <c r="R63" s="518" t="s">
        <v>422</v>
      </c>
      <c r="S63" s="520"/>
      <c r="T63" s="520"/>
      <c r="U63" s="519"/>
      <c r="V63" s="504" t="s">
        <v>423</v>
      </c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 t="s">
        <v>413</v>
      </c>
      <c r="B64" s="507"/>
      <c r="C64" s="241" t="s">
        <v>414</v>
      </c>
      <c r="D64" s="241" t="s">
        <v>408</v>
      </c>
      <c r="E64" s="241" t="s">
        <v>411</v>
      </c>
      <c r="F64" s="504" t="s">
        <v>412</v>
      </c>
      <c r="G64" s="505"/>
      <c r="H64" s="505"/>
      <c r="I64" s="505"/>
      <c r="J64" s="505"/>
      <c r="K64" s="505"/>
      <c r="L64" s="505"/>
      <c r="M64" s="506"/>
      <c r="N64" s="240"/>
      <c r="O64" s="247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244"/>
      <c r="D65" s="244"/>
      <c r="E65" s="241"/>
      <c r="F65" s="504"/>
      <c r="G65" s="505"/>
      <c r="H65" s="505"/>
      <c r="I65" s="505"/>
      <c r="J65" s="505"/>
      <c r="K65" s="505"/>
      <c r="L65" s="505"/>
      <c r="M65" s="506"/>
      <c r="N65" s="240"/>
      <c r="O65" s="247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244"/>
      <c r="D66" s="244"/>
      <c r="E66" s="241"/>
      <c r="F66" s="504"/>
      <c r="G66" s="505"/>
      <c r="H66" s="505"/>
      <c r="I66" s="505"/>
      <c r="J66" s="505"/>
      <c r="K66" s="505"/>
      <c r="L66" s="505"/>
      <c r="M66" s="506"/>
      <c r="N66" s="240"/>
      <c r="O66" s="247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242"/>
      <c r="D67" s="243"/>
      <c r="E67" s="242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424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245" t="s">
        <v>2</v>
      </c>
      <c r="D69" s="245" t="s">
        <v>37</v>
      </c>
      <c r="E69" s="245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245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392</v>
      </c>
      <c r="D70" s="249"/>
      <c r="E70" s="246" t="s">
        <v>393</v>
      </c>
      <c r="F70" s="488" t="s">
        <v>391</v>
      </c>
      <c r="G70" s="478"/>
      <c r="H70" s="478"/>
      <c r="I70" s="478"/>
      <c r="J70" s="478"/>
      <c r="K70" s="478" t="s">
        <v>425</v>
      </c>
      <c r="L70" s="478"/>
      <c r="M70" s="51" t="s">
        <v>395</v>
      </c>
      <c r="N70" s="489" t="s">
        <v>247</v>
      </c>
      <c r="O70" s="489"/>
      <c r="P70" s="490">
        <v>100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426</v>
      </c>
      <c r="D71" s="249"/>
      <c r="E71" s="246" t="s">
        <v>417</v>
      </c>
      <c r="F71" s="492" t="s">
        <v>427</v>
      </c>
      <c r="G71" s="493"/>
      <c r="H71" s="493"/>
      <c r="I71" s="493"/>
      <c r="J71" s="494"/>
      <c r="K71" s="478" t="s">
        <v>428</v>
      </c>
      <c r="L71" s="478"/>
      <c r="M71" s="51" t="s">
        <v>155</v>
      </c>
      <c r="N71" s="489" t="s">
        <v>247</v>
      </c>
      <c r="O71" s="489"/>
      <c r="P71" s="490">
        <v>100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/>
      <c r="D72" s="249"/>
      <c r="E72" s="246"/>
      <c r="F72" s="492"/>
      <c r="G72" s="493"/>
      <c r="H72" s="493"/>
      <c r="I72" s="493"/>
      <c r="J72" s="494"/>
      <c r="K72" s="478"/>
      <c r="L72" s="478"/>
      <c r="M72" s="51"/>
      <c r="N72" s="489"/>
      <c r="O72" s="489"/>
      <c r="P72" s="490"/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249"/>
      <c r="E73" s="246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249"/>
      <c r="E74" s="246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249"/>
      <c r="E75" s="246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249"/>
      <c r="E76" s="246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249"/>
      <c r="E77" s="246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249"/>
      <c r="E78" s="246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249"/>
      <c r="E79" s="246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429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248" t="s">
        <v>2</v>
      </c>
      <c r="D81" s="248" t="s">
        <v>37</v>
      </c>
      <c r="E81" s="248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250"/>
      <c r="D82" s="250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249"/>
      <c r="D83" s="249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249"/>
      <c r="D84" s="249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249"/>
      <c r="D85" s="249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249"/>
      <c r="D86" s="249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249"/>
      <c r="D87" s="249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249"/>
      <c r="D88" s="249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430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>
        <v>9</v>
      </c>
      <c r="D91" s="454"/>
      <c r="E91" s="454" t="s">
        <v>124</v>
      </c>
      <c r="F91" s="454"/>
      <c r="G91" s="454"/>
      <c r="H91" s="454"/>
      <c r="I91" s="454"/>
      <c r="J91" s="454"/>
      <c r="K91" s="454" t="s">
        <v>129</v>
      </c>
      <c r="L91" s="454"/>
      <c r="M91" s="454"/>
      <c r="N91" s="454"/>
      <c r="O91" s="454"/>
      <c r="P91" s="454"/>
      <c r="Q91" s="454"/>
      <c r="R91" s="454"/>
      <c r="S91" s="454"/>
      <c r="T91" s="454" t="s">
        <v>125</v>
      </c>
      <c r="U91" s="454"/>
      <c r="V91" s="455">
        <v>1900000</v>
      </c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5F12-E769-4460-BA6B-36F9E65F0698}">
  <sheetPr>
    <pageSetUpPr fitToPage="1"/>
  </sheetPr>
  <dimension ref="A1:AF94"/>
  <sheetViews>
    <sheetView view="pageBreakPreview" topLeftCell="A43" zoomScale="70" zoomScaleNormal="72" zoomScaleSheetLayoutView="70" workbookViewId="0">
      <selection activeCell="T15" sqref="T1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431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254" t="s">
        <v>17</v>
      </c>
      <c r="L5" s="254" t="s">
        <v>18</v>
      </c>
      <c r="M5" s="254" t="s">
        <v>19</v>
      </c>
      <c r="N5" s="25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137</v>
      </c>
      <c r="E6" s="53" t="s">
        <v>419</v>
      </c>
      <c r="F6" s="30" t="s">
        <v>128</v>
      </c>
      <c r="G6" s="12">
        <v>4</v>
      </c>
      <c r="H6" s="13">
        <v>24</v>
      </c>
      <c r="I6" s="31">
        <v>20000</v>
      </c>
      <c r="J6" s="14">
        <v>16268</v>
      </c>
      <c r="K6" s="15">
        <f>L6</f>
        <v>16268</v>
      </c>
      <c r="L6" s="15">
        <f>1176*4+2891*4</f>
        <v>16268</v>
      </c>
      <c r="M6" s="15">
        <f t="shared" ref="M6:M28" si="0">L6-N6</f>
        <v>16268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19</v>
      </c>
      <c r="Q6" s="40">
        <f t="shared" ref="Q6:Q28" si="3">SUM(R6:AA6)</f>
        <v>5</v>
      </c>
      <c r="R6" s="7"/>
      <c r="S6" s="6">
        <v>5</v>
      </c>
      <c r="T6" s="16"/>
      <c r="U6" s="16"/>
      <c r="V6" s="17"/>
      <c r="W6" s="5"/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0.79166666666666663</v>
      </c>
      <c r="AD6" s="10">
        <f t="shared" ref="AD6:AD28" si="6">AC6*AB6*(1-O6)</f>
        <v>0.79166666666666663</v>
      </c>
      <c r="AE6" s="36">
        <f t="shared" ref="AE6:AE28" si="7">$AD$29</f>
        <v>0.40217391304347827</v>
      </c>
      <c r="AF6" s="84">
        <f t="shared" ref="AF6:AF28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7762</v>
      </c>
      <c r="K7" s="15">
        <f>L7+4540+5413+4776+3810+3773+2780+4786+5910+5528+3614+7707+9828+3822+6888+11032+9113+10064+12756+9446+2965+8390+12796+12772+12708+12736</f>
        <v>195715</v>
      </c>
      <c r="L7" s="15">
        <f>663*2+3218*2</f>
        <v>7762</v>
      </c>
      <c r="M7" s="15">
        <f t="shared" si="0"/>
        <v>7762</v>
      </c>
      <c r="N7" s="15">
        <v>0</v>
      </c>
      <c r="O7" s="58">
        <f t="shared" si="1"/>
        <v>0</v>
      </c>
      <c r="P7" s="39">
        <f t="shared" si="2"/>
        <v>16</v>
      </c>
      <c r="Q7" s="40">
        <f t="shared" si="3"/>
        <v>8</v>
      </c>
      <c r="R7" s="7"/>
      <c r="S7" s="6">
        <v>8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0.66666666666666663</v>
      </c>
      <c r="AD7" s="10">
        <f t="shared" si="6"/>
        <v>0.66666666666666663</v>
      </c>
      <c r="AE7" s="36">
        <f t="shared" si="7"/>
        <v>0.40217391304347827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126000</v>
      </c>
      <c r="J8" s="14">
        <v>11096</v>
      </c>
      <c r="K8" s="15">
        <f>L8+1708+5184+11810+11756+5148+11086+11698+11644+7968+11268</f>
        <v>100366</v>
      </c>
      <c r="L8" s="15">
        <f>2610*2+2938*2</f>
        <v>11096</v>
      </c>
      <c r="M8" s="15">
        <f t="shared" si="0"/>
        <v>11096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0.40217391304347827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197</v>
      </c>
      <c r="D9" s="52"/>
      <c r="E9" s="53" t="s">
        <v>193</v>
      </c>
      <c r="F9" s="30" t="s">
        <v>212</v>
      </c>
      <c r="G9" s="12">
        <v>2</v>
      </c>
      <c r="H9" s="13">
        <v>24</v>
      </c>
      <c r="I9" s="7">
        <v>126000</v>
      </c>
      <c r="J9" s="14">
        <v>11482</v>
      </c>
      <c r="K9" s="15">
        <f>L9+11914+12528+12574+9262+2544+9278+12614+12560+12426+12346</f>
        <v>119528</v>
      </c>
      <c r="L9" s="15">
        <f>2780*2+2961*2</f>
        <v>11482</v>
      </c>
      <c r="M9" s="15">
        <f t="shared" si="0"/>
        <v>11482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0.40217391304347827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126000</v>
      </c>
      <c r="J10" s="14">
        <v>11538</v>
      </c>
      <c r="K10" s="15">
        <f>L10+11830+12840+12918+12834+5574+11176+13572+8552+12834+12546</f>
        <v>126214</v>
      </c>
      <c r="L10" s="15">
        <f>2826*2+2943*2</f>
        <v>11538</v>
      </c>
      <c r="M10" s="15">
        <f t="shared" si="0"/>
        <v>11538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0.40217391304347827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164</v>
      </c>
      <c r="E11" s="53" t="s">
        <v>362</v>
      </c>
      <c r="F11" s="30" t="s">
        <v>126</v>
      </c>
      <c r="G11" s="33">
        <v>1</v>
      </c>
      <c r="H11" s="35">
        <v>24</v>
      </c>
      <c r="I11" s="7">
        <v>6000</v>
      </c>
      <c r="J11" s="14">
        <v>1050</v>
      </c>
      <c r="K11" s="15">
        <f>L11+5463</f>
        <v>6513</v>
      </c>
      <c r="L11" s="15">
        <v>1050</v>
      </c>
      <c r="M11" s="15">
        <f t="shared" si="0"/>
        <v>1050</v>
      </c>
      <c r="N11" s="15">
        <v>0</v>
      </c>
      <c r="O11" s="58">
        <f t="shared" si="1"/>
        <v>0</v>
      </c>
      <c r="P11" s="39">
        <f t="shared" si="2"/>
        <v>5</v>
      </c>
      <c r="Q11" s="40">
        <f t="shared" si="3"/>
        <v>19</v>
      </c>
      <c r="R11" s="7"/>
      <c r="S11" s="6"/>
      <c r="T11" s="16"/>
      <c r="U11" s="16"/>
      <c r="V11" s="17"/>
      <c r="W11" s="5">
        <v>19</v>
      </c>
      <c r="X11" s="16"/>
      <c r="Y11" s="16"/>
      <c r="Z11" s="16"/>
      <c r="AA11" s="18"/>
      <c r="AB11" s="8">
        <f t="shared" si="4"/>
        <v>1</v>
      </c>
      <c r="AC11" s="9">
        <f t="shared" si="5"/>
        <v>0.20833333333333334</v>
      </c>
      <c r="AD11" s="10">
        <f t="shared" si="6"/>
        <v>0.20833333333333334</v>
      </c>
      <c r="AE11" s="36">
        <f t="shared" si="7"/>
        <v>0.40217391304347827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383</v>
      </c>
      <c r="F12" s="30" t="s">
        <v>278</v>
      </c>
      <c r="G12" s="12">
        <v>4</v>
      </c>
      <c r="H12" s="13">
        <v>22</v>
      </c>
      <c r="I12" s="31">
        <v>20000</v>
      </c>
      <c r="J12" s="5">
        <v>18572</v>
      </c>
      <c r="K12" s="15">
        <f>L12+18572</f>
        <v>18572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0.40217391304347827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134</v>
      </c>
      <c r="D13" s="52" t="s">
        <v>121</v>
      </c>
      <c r="E13" s="53" t="s">
        <v>432</v>
      </c>
      <c r="F13" s="30" t="s">
        <v>136</v>
      </c>
      <c r="G13" s="33">
        <v>1</v>
      </c>
      <c r="H13" s="35">
        <v>22</v>
      </c>
      <c r="I13" s="7">
        <v>1000</v>
      </c>
      <c r="J13" s="14">
        <v>1152</v>
      </c>
      <c r="K13" s="15">
        <f>L13</f>
        <v>1152</v>
      </c>
      <c r="L13" s="15">
        <f>572+580</f>
        <v>1152</v>
      </c>
      <c r="M13" s="15">
        <f t="shared" si="0"/>
        <v>1152</v>
      </c>
      <c r="N13" s="15">
        <v>0</v>
      </c>
      <c r="O13" s="58">
        <f t="shared" si="1"/>
        <v>0</v>
      </c>
      <c r="P13" s="39">
        <f t="shared" si="2"/>
        <v>6</v>
      </c>
      <c r="Q13" s="40">
        <f t="shared" si="3"/>
        <v>18</v>
      </c>
      <c r="R13" s="7"/>
      <c r="S13" s="6"/>
      <c r="T13" s="16"/>
      <c r="U13" s="16"/>
      <c r="V13" s="17"/>
      <c r="W13" s="5">
        <v>18</v>
      </c>
      <c r="X13" s="16"/>
      <c r="Y13" s="16"/>
      <c r="Z13" s="16"/>
      <c r="AA13" s="18"/>
      <c r="AB13" s="8">
        <f t="shared" si="4"/>
        <v>1</v>
      </c>
      <c r="AC13" s="9">
        <f t="shared" si="5"/>
        <v>0.25</v>
      </c>
      <c r="AD13" s="10">
        <f t="shared" si="6"/>
        <v>0.25</v>
      </c>
      <c r="AE13" s="36">
        <f t="shared" si="7"/>
        <v>0.40217391304347827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294</v>
      </c>
      <c r="F14" s="30" t="s">
        <v>149</v>
      </c>
      <c r="G14" s="33">
        <v>1</v>
      </c>
      <c r="H14" s="35">
        <v>30</v>
      </c>
      <c r="I14" s="7">
        <v>100</v>
      </c>
      <c r="J14" s="5">
        <v>100</v>
      </c>
      <c r="K14" s="15">
        <f>L14+100</f>
        <v>100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0.40217391304347827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0.40217391304347827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330</v>
      </c>
      <c r="F16" s="30" t="s">
        <v>136</v>
      </c>
      <c r="G16" s="12">
        <v>1</v>
      </c>
      <c r="H16" s="13">
        <v>24</v>
      </c>
      <c r="I16" s="7">
        <v>6500</v>
      </c>
      <c r="J16" s="14">
        <v>535</v>
      </c>
      <c r="K16" s="15">
        <f>L16+2602</f>
        <v>3137</v>
      </c>
      <c r="L16" s="15">
        <v>535</v>
      </c>
      <c r="M16" s="15">
        <f t="shared" si="0"/>
        <v>535</v>
      </c>
      <c r="N16" s="15">
        <v>0</v>
      </c>
      <c r="O16" s="58">
        <f t="shared" si="1"/>
        <v>0</v>
      </c>
      <c r="P16" s="39">
        <f t="shared" si="2"/>
        <v>3</v>
      </c>
      <c r="Q16" s="40">
        <f t="shared" si="3"/>
        <v>21</v>
      </c>
      <c r="R16" s="7"/>
      <c r="S16" s="6"/>
      <c r="T16" s="16"/>
      <c r="U16" s="16"/>
      <c r="V16" s="17"/>
      <c r="W16" s="5">
        <v>21</v>
      </c>
      <c r="X16" s="16"/>
      <c r="Y16" s="16"/>
      <c r="Z16" s="16"/>
      <c r="AA16" s="18"/>
      <c r="AB16" s="8">
        <f t="shared" si="4"/>
        <v>1</v>
      </c>
      <c r="AC16" s="9">
        <f t="shared" si="5"/>
        <v>0.125</v>
      </c>
      <c r="AD16" s="10">
        <f t="shared" si="6"/>
        <v>0.125</v>
      </c>
      <c r="AE16" s="36">
        <f t="shared" si="7"/>
        <v>0.40217391304347827</v>
      </c>
      <c r="AF16" s="84">
        <f t="shared" si="8"/>
        <v>11</v>
      </c>
    </row>
    <row r="17" spans="1:32" ht="27" customHeight="1">
      <c r="A17" s="112">
        <v>11</v>
      </c>
      <c r="B17" s="11" t="s">
        <v>57</v>
      </c>
      <c r="C17" s="34" t="s">
        <v>116</v>
      </c>
      <c r="D17" s="52" t="s">
        <v>121</v>
      </c>
      <c r="E17" s="53" t="s">
        <v>418</v>
      </c>
      <c r="F17" s="30" t="s">
        <v>433</v>
      </c>
      <c r="G17" s="12">
        <v>4</v>
      </c>
      <c r="H17" s="13">
        <v>24</v>
      </c>
      <c r="I17" s="7">
        <v>20000</v>
      </c>
      <c r="J17" s="14">
        <v>13316</v>
      </c>
      <c r="K17" s="15">
        <f>L17</f>
        <v>13316</v>
      </c>
      <c r="L17" s="15">
        <f>3329*4</f>
        <v>13316</v>
      </c>
      <c r="M17" s="15">
        <f t="shared" ref="M17" si="9">L17-N17</f>
        <v>13316</v>
      </c>
      <c r="N17" s="15">
        <v>0</v>
      </c>
      <c r="O17" s="58">
        <f t="shared" ref="O17" si="10">IF(L17=0,"0",N17/L17)</f>
        <v>0</v>
      </c>
      <c r="P17" s="39">
        <f t="shared" ref="P17" si="11">IF(L17=0,"0",(24-Q17))</f>
        <v>15</v>
      </c>
      <c r="Q17" s="40">
        <f t="shared" ref="Q17" si="12">SUM(R17:AA17)</f>
        <v>9</v>
      </c>
      <c r="R17" s="7"/>
      <c r="S17" s="6">
        <v>9</v>
      </c>
      <c r="T17" s="16"/>
      <c r="U17" s="16"/>
      <c r="V17" s="17"/>
      <c r="W17" s="5"/>
      <c r="X17" s="16"/>
      <c r="Y17" s="16"/>
      <c r="Z17" s="16"/>
      <c r="AA17" s="18"/>
      <c r="AB17" s="8">
        <f t="shared" ref="AB17" si="13">IF(J17=0,"0",(L17/J17))</f>
        <v>1</v>
      </c>
      <c r="AC17" s="9">
        <f t="shared" ref="AC17" si="14">IF(P17=0,"0",(P17/24))</f>
        <v>0.625</v>
      </c>
      <c r="AD17" s="10">
        <f t="shared" ref="AD17" si="15">AC17*AB17*(1-O17)</f>
        <v>0.625</v>
      </c>
      <c r="AE17" s="36">
        <f t="shared" si="7"/>
        <v>0.40217391304347827</v>
      </c>
      <c r="AF17" s="84">
        <f t="shared" ref="AF17" si="16">A17</f>
        <v>11</v>
      </c>
    </row>
    <row r="18" spans="1:32" ht="27" customHeight="1">
      <c r="A18" s="95">
        <v>12</v>
      </c>
      <c r="B18" s="11" t="s">
        <v>57</v>
      </c>
      <c r="C18" s="34" t="s">
        <v>134</v>
      </c>
      <c r="D18" s="52"/>
      <c r="E18" s="53" t="s">
        <v>167</v>
      </c>
      <c r="F18" s="30" t="s">
        <v>168</v>
      </c>
      <c r="G18" s="12">
        <v>5</v>
      </c>
      <c r="H18" s="13">
        <v>24</v>
      </c>
      <c r="I18" s="7">
        <v>200000</v>
      </c>
      <c r="J18" s="14">
        <v>28200</v>
      </c>
      <c r="K18" s="15">
        <f>L18+26370+39325+19755+18405+40885+18620+38310+41130+40940+28200</f>
        <v>311940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0.40217391304347827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134</v>
      </c>
      <c r="D19" s="52" t="s">
        <v>225</v>
      </c>
      <c r="E19" s="53" t="s">
        <v>420</v>
      </c>
      <c r="F19" s="30" t="s">
        <v>135</v>
      </c>
      <c r="G19" s="33">
        <v>1</v>
      </c>
      <c r="H19" s="35">
        <v>24</v>
      </c>
      <c r="I19" s="7">
        <v>2000</v>
      </c>
      <c r="J19" s="14">
        <v>3119</v>
      </c>
      <c r="K19" s="15">
        <f>L19</f>
        <v>3119</v>
      </c>
      <c r="L19" s="15">
        <f>1991+1128</f>
        <v>3119</v>
      </c>
      <c r="M19" s="15">
        <f t="shared" si="0"/>
        <v>3119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/>
      <c r="T19" s="16"/>
      <c r="U19" s="16"/>
      <c r="V19" s="17"/>
      <c r="W19" s="5">
        <v>4</v>
      </c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 t="shared" si="7"/>
        <v>0.40217391304347827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133</v>
      </c>
      <c r="E20" s="53" t="s">
        <v>401</v>
      </c>
      <c r="F20" s="30" t="s">
        <v>127</v>
      </c>
      <c r="G20" s="33">
        <v>1</v>
      </c>
      <c r="H20" s="35">
        <v>24</v>
      </c>
      <c r="I20" s="7">
        <v>20000</v>
      </c>
      <c r="J20" s="14">
        <v>5013</v>
      </c>
      <c r="K20" s="15">
        <f>L20+2290</f>
        <v>7303</v>
      </c>
      <c r="L20" s="15">
        <f>2343+2670</f>
        <v>5013</v>
      </c>
      <c r="M20" s="15">
        <f t="shared" si="0"/>
        <v>5013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0.40217391304347827</v>
      </c>
      <c r="AF20" s="84">
        <f t="shared" si="8"/>
        <v>14</v>
      </c>
    </row>
    <row r="21" spans="1:32" ht="27" customHeight="1">
      <c r="A21" s="112">
        <v>15</v>
      </c>
      <c r="B21" s="11" t="s">
        <v>57</v>
      </c>
      <c r="C21" s="34" t="s">
        <v>112</v>
      </c>
      <c r="D21" s="52" t="s">
        <v>133</v>
      </c>
      <c r="E21" s="53" t="s">
        <v>221</v>
      </c>
      <c r="F21" s="30" t="s">
        <v>127</v>
      </c>
      <c r="G21" s="12">
        <v>2</v>
      </c>
      <c r="H21" s="13">
        <v>24</v>
      </c>
      <c r="I21" s="7">
        <v>150000</v>
      </c>
      <c r="J21" s="14">
        <v>13830</v>
      </c>
      <c r="K21" s="15">
        <f>L21+20020+14558+6956+4260+13958+8440+18763+11805+15424</f>
        <v>128014</v>
      </c>
      <c r="L21" s="15">
        <f>790*3+750*2+618*4+2496*3</f>
        <v>13830</v>
      </c>
      <c r="M21" s="15">
        <f t="shared" si="0"/>
        <v>13830</v>
      </c>
      <c r="N21" s="15">
        <v>0</v>
      </c>
      <c r="O21" s="58">
        <f t="shared" si="1"/>
        <v>0</v>
      </c>
      <c r="P21" s="39">
        <f t="shared" si="2"/>
        <v>18</v>
      </c>
      <c r="Q21" s="40">
        <f t="shared" si="3"/>
        <v>6</v>
      </c>
      <c r="R21" s="7"/>
      <c r="S21" s="6">
        <v>6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0.75</v>
      </c>
      <c r="AD21" s="10">
        <f t="shared" si="6"/>
        <v>0.75</v>
      </c>
      <c r="AE21" s="36">
        <f t="shared" si="7"/>
        <v>0.40217391304347827</v>
      </c>
      <c r="AF21" s="84">
        <f t="shared" si="8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131</v>
      </c>
      <c r="F22" s="12" t="s">
        <v>114</v>
      </c>
      <c r="G22" s="12">
        <v>4</v>
      </c>
      <c r="H22" s="35">
        <v>20</v>
      </c>
      <c r="I22" s="7">
        <v>1000000</v>
      </c>
      <c r="J22" s="14">
        <v>61480</v>
      </c>
      <c r="K22" s="15">
        <f>L22+50740+61508+62116+62068+58848+54656+61696+61724+33064+28160+54396+62000+61828+61480</f>
        <v>774284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0.40217391304347827</v>
      </c>
      <c r="AF22" s="84">
        <f t="shared" si="8"/>
        <v>16</v>
      </c>
    </row>
    <row r="23" spans="1:32" ht="18.75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0.40217391304347827</v>
      </c>
      <c r="AF23" s="84">
        <f t="shared" si="8"/>
        <v>31</v>
      </c>
    </row>
    <row r="24" spans="1:32" ht="18.75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0.40217391304347827</v>
      </c>
      <c r="AF24" s="84">
        <f t="shared" si="8"/>
        <v>32</v>
      </c>
    </row>
    <row r="25" spans="1:32" ht="18.75">
      <c r="A25" s="96">
        <v>33</v>
      </c>
      <c r="B25" s="11" t="s">
        <v>57</v>
      </c>
      <c r="C25" s="11" t="s">
        <v>116</v>
      </c>
      <c r="D25" s="52" t="s">
        <v>137</v>
      </c>
      <c r="E25" s="53" t="s">
        <v>140</v>
      </c>
      <c r="F25" s="12" t="s">
        <v>136</v>
      </c>
      <c r="G25" s="12">
        <v>1</v>
      </c>
      <c r="H25" s="35">
        <v>20</v>
      </c>
      <c r="I25" s="7">
        <v>140000</v>
      </c>
      <c r="J25" s="14">
        <v>3244</v>
      </c>
      <c r="K25" s="15">
        <f>L25+4387+7770+5806+7905+7479+7369+7360+2397+6904+7208+7013+6976+6992+2652+6495+7026+7051+7084+4297+6519+7042+3244</f>
        <v>136976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0.40217391304347827</v>
      </c>
      <c r="AF25" s="84">
        <f t="shared" si="8"/>
        <v>33</v>
      </c>
    </row>
    <row r="26" spans="1:32" ht="28.5">
      <c r="A26" s="96">
        <v>34</v>
      </c>
      <c r="B26" s="11" t="s">
        <v>57</v>
      </c>
      <c r="C26" s="11" t="s">
        <v>116</v>
      </c>
      <c r="D26" s="52" t="s">
        <v>137</v>
      </c>
      <c r="E26" s="53" t="s">
        <v>141</v>
      </c>
      <c r="F26" s="12" t="s">
        <v>128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0.40217391304347827</v>
      </c>
      <c r="AF26" s="84">
        <f t="shared" si="8"/>
        <v>34</v>
      </c>
    </row>
    <row r="27" spans="1:32" ht="28.5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130</v>
      </c>
      <c r="F27" s="12" t="s">
        <v>128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0.40217391304347827</v>
      </c>
      <c r="AF27" s="84">
        <f t="shared" si="8"/>
        <v>35</v>
      </c>
    </row>
    <row r="28" spans="1:32" ht="19.5" thickBot="1">
      <c r="A28" s="96">
        <v>36</v>
      </c>
      <c r="B28" s="11" t="s">
        <v>57</v>
      </c>
      <c r="C28" s="11" t="s">
        <v>150</v>
      </c>
      <c r="D28" s="52"/>
      <c r="E28" s="53" t="s">
        <v>348</v>
      </c>
      <c r="F28" s="12" t="s">
        <v>152</v>
      </c>
      <c r="G28" s="12">
        <v>32</v>
      </c>
      <c r="H28" s="35">
        <v>20</v>
      </c>
      <c r="I28" s="7">
        <v>2000000</v>
      </c>
      <c r="J28" s="14">
        <v>502656</v>
      </c>
      <c r="K28" s="15">
        <f>L28+396032+523136+552288</f>
        <v>1974112</v>
      </c>
      <c r="L28" s="15">
        <f>8541*32+7167*32</f>
        <v>502656</v>
      </c>
      <c r="M28" s="15">
        <f t="shared" si="0"/>
        <v>502656</v>
      </c>
      <c r="N28" s="15">
        <v>0</v>
      </c>
      <c r="O28" s="58">
        <f t="shared" si="1"/>
        <v>0</v>
      </c>
      <c r="P28" s="39">
        <f t="shared" si="2"/>
        <v>24</v>
      </c>
      <c r="Q28" s="40">
        <f t="shared" si="3"/>
        <v>0</v>
      </c>
      <c r="R28" s="7"/>
      <c r="S28" s="6"/>
      <c r="T28" s="16"/>
      <c r="U28" s="16"/>
      <c r="V28" s="120"/>
      <c r="W28" s="5"/>
      <c r="X28" s="16"/>
      <c r="Y28" s="16"/>
      <c r="Z28" s="16"/>
      <c r="AA28" s="18"/>
      <c r="AB28" s="8">
        <f t="shared" si="4"/>
        <v>1</v>
      </c>
      <c r="AC28" s="9">
        <f t="shared" si="5"/>
        <v>1</v>
      </c>
      <c r="AD28" s="10">
        <f t="shared" si="6"/>
        <v>1</v>
      </c>
      <c r="AE28" s="36">
        <f t="shared" si="7"/>
        <v>0.40217391304347827</v>
      </c>
      <c r="AF28" s="84">
        <f t="shared" si="8"/>
        <v>36</v>
      </c>
    </row>
    <row r="29" spans="1:32" ht="19.5" thickBot="1">
      <c r="A29" s="523" t="s">
        <v>34</v>
      </c>
      <c r="B29" s="524"/>
      <c r="C29" s="524"/>
      <c r="D29" s="524"/>
      <c r="E29" s="524"/>
      <c r="F29" s="524"/>
      <c r="G29" s="524"/>
      <c r="H29" s="525"/>
      <c r="I29" s="22">
        <f t="shared" ref="I29:N29" si="17">SUM(I6:I28)</f>
        <v>4675600</v>
      </c>
      <c r="J29" s="19">
        <f t="shared" si="17"/>
        <v>758301</v>
      </c>
      <c r="K29" s="20">
        <f t="shared" si="17"/>
        <v>4545029</v>
      </c>
      <c r="L29" s="21">
        <f t="shared" si="17"/>
        <v>598817</v>
      </c>
      <c r="M29" s="20">
        <f t="shared" si="17"/>
        <v>598817</v>
      </c>
      <c r="N29" s="21">
        <f t="shared" si="17"/>
        <v>0</v>
      </c>
      <c r="O29" s="41">
        <f t="shared" si="1"/>
        <v>0</v>
      </c>
      <c r="P29" s="42">
        <f t="shared" ref="P29:AA29" si="18">SUM(P6:P28)</f>
        <v>222</v>
      </c>
      <c r="Q29" s="43">
        <f t="shared" si="18"/>
        <v>330</v>
      </c>
      <c r="R29" s="23">
        <f t="shared" si="18"/>
        <v>0</v>
      </c>
      <c r="S29" s="24">
        <f t="shared" si="18"/>
        <v>28</v>
      </c>
      <c r="T29" s="24">
        <f t="shared" si="18"/>
        <v>0</v>
      </c>
      <c r="U29" s="24">
        <f t="shared" si="18"/>
        <v>0</v>
      </c>
      <c r="V29" s="25">
        <f t="shared" si="18"/>
        <v>24</v>
      </c>
      <c r="W29" s="26">
        <f t="shared" si="18"/>
        <v>254</v>
      </c>
      <c r="X29" s="27">
        <f t="shared" si="18"/>
        <v>0</v>
      </c>
      <c r="Y29" s="27">
        <f t="shared" si="18"/>
        <v>0</v>
      </c>
      <c r="Z29" s="27">
        <f t="shared" si="18"/>
        <v>0</v>
      </c>
      <c r="AA29" s="27">
        <f t="shared" si="18"/>
        <v>24</v>
      </c>
      <c r="AB29" s="28">
        <f>AVERAGE(AB6:AB28)</f>
        <v>0.61904761904761907</v>
      </c>
      <c r="AC29" s="4">
        <f>AVERAGE(AC6:AC28)</f>
        <v>0.40217391304347827</v>
      </c>
      <c r="AD29" s="4">
        <f>AVERAGE(AD6:AD28)</f>
        <v>0.40217391304347827</v>
      </c>
      <c r="AE29" s="29"/>
    </row>
    <row r="30" spans="1:32">
      <c r="T30" s="50" t="s">
        <v>138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139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526" t="s">
        <v>45</v>
      </c>
      <c r="B56" s="526"/>
      <c r="C56" s="526"/>
      <c r="D56" s="526"/>
      <c r="E56" s="526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527" t="s">
        <v>434</v>
      </c>
      <c r="B57" s="528"/>
      <c r="C57" s="528"/>
      <c r="D57" s="528"/>
      <c r="E57" s="528"/>
      <c r="F57" s="528"/>
      <c r="G57" s="528"/>
      <c r="H57" s="528"/>
      <c r="I57" s="528"/>
      <c r="J57" s="528"/>
      <c r="K57" s="528"/>
      <c r="L57" s="528"/>
      <c r="M57" s="529"/>
      <c r="N57" s="530" t="s">
        <v>437</v>
      </c>
      <c r="O57" s="531"/>
      <c r="P57" s="531"/>
      <c r="Q57" s="531"/>
      <c r="R57" s="531"/>
      <c r="S57" s="531"/>
      <c r="T57" s="531"/>
      <c r="U57" s="531"/>
      <c r="V57" s="531"/>
      <c r="W57" s="531"/>
      <c r="X57" s="531"/>
      <c r="Y57" s="531"/>
      <c r="Z57" s="531"/>
      <c r="AA57" s="531"/>
      <c r="AB57" s="531"/>
      <c r="AC57" s="531"/>
      <c r="AD57" s="532"/>
    </row>
    <row r="58" spans="1:32" ht="27" customHeight="1">
      <c r="A58" s="533" t="s">
        <v>2</v>
      </c>
      <c r="B58" s="534"/>
      <c r="C58" s="255" t="s">
        <v>46</v>
      </c>
      <c r="D58" s="255" t="s">
        <v>47</v>
      </c>
      <c r="E58" s="255" t="s">
        <v>107</v>
      </c>
      <c r="F58" s="535" t="s">
        <v>106</v>
      </c>
      <c r="G58" s="536"/>
      <c r="H58" s="536"/>
      <c r="I58" s="536"/>
      <c r="J58" s="536"/>
      <c r="K58" s="536"/>
      <c r="L58" s="536"/>
      <c r="M58" s="537"/>
      <c r="N58" s="67" t="s">
        <v>110</v>
      </c>
      <c r="O58" s="255" t="s">
        <v>46</v>
      </c>
      <c r="P58" s="535" t="s">
        <v>47</v>
      </c>
      <c r="Q58" s="538"/>
      <c r="R58" s="535" t="s">
        <v>38</v>
      </c>
      <c r="S58" s="536"/>
      <c r="T58" s="536"/>
      <c r="U58" s="538"/>
      <c r="V58" s="535" t="s">
        <v>48</v>
      </c>
      <c r="W58" s="536"/>
      <c r="X58" s="536"/>
      <c r="Y58" s="536"/>
      <c r="Z58" s="536"/>
      <c r="AA58" s="536"/>
      <c r="AB58" s="536"/>
      <c r="AC58" s="536"/>
      <c r="AD58" s="537"/>
    </row>
    <row r="59" spans="1:32" ht="27" customHeight="1">
      <c r="A59" s="517" t="s">
        <v>112</v>
      </c>
      <c r="B59" s="507"/>
      <c r="C59" s="257" t="s">
        <v>220</v>
      </c>
      <c r="D59" s="257" t="s">
        <v>133</v>
      </c>
      <c r="E59" s="257" t="s">
        <v>221</v>
      </c>
      <c r="F59" s="504" t="s">
        <v>402</v>
      </c>
      <c r="G59" s="505"/>
      <c r="H59" s="505"/>
      <c r="I59" s="505"/>
      <c r="J59" s="505"/>
      <c r="K59" s="505"/>
      <c r="L59" s="505"/>
      <c r="M59" s="506"/>
      <c r="N59" s="256" t="s">
        <v>112</v>
      </c>
      <c r="O59" s="263" t="s">
        <v>220</v>
      </c>
      <c r="P59" s="518" t="s">
        <v>133</v>
      </c>
      <c r="Q59" s="519"/>
      <c r="R59" s="518" t="s">
        <v>221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257" t="s">
        <v>201</v>
      </c>
      <c r="D60" s="257" t="s">
        <v>164</v>
      </c>
      <c r="E60" s="257" t="s">
        <v>362</v>
      </c>
      <c r="F60" s="504" t="s">
        <v>217</v>
      </c>
      <c r="G60" s="505"/>
      <c r="H60" s="505"/>
      <c r="I60" s="505"/>
      <c r="J60" s="505"/>
      <c r="K60" s="505"/>
      <c r="L60" s="505"/>
      <c r="M60" s="506"/>
      <c r="N60" s="256" t="s">
        <v>134</v>
      </c>
      <c r="O60" s="263" t="s">
        <v>438</v>
      </c>
      <c r="P60" s="518" t="s">
        <v>439</v>
      </c>
      <c r="Q60" s="519"/>
      <c r="R60" s="518" t="s">
        <v>440</v>
      </c>
      <c r="S60" s="520"/>
      <c r="T60" s="520"/>
      <c r="U60" s="519"/>
      <c r="V60" s="504" t="s">
        <v>441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134</v>
      </c>
      <c r="B61" s="507"/>
      <c r="C61" s="257" t="s">
        <v>240</v>
      </c>
      <c r="D61" s="257" t="s">
        <v>121</v>
      </c>
      <c r="E61" s="257" t="s">
        <v>432</v>
      </c>
      <c r="F61" s="504" t="s">
        <v>123</v>
      </c>
      <c r="G61" s="505"/>
      <c r="H61" s="505"/>
      <c r="I61" s="505"/>
      <c r="J61" s="505"/>
      <c r="K61" s="505"/>
      <c r="L61" s="505"/>
      <c r="M61" s="506"/>
      <c r="N61" s="256" t="s">
        <v>112</v>
      </c>
      <c r="O61" s="263" t="s">
        <v>443</v>
      </c>
      <c r="P61" s="518" t="s">
        <v>444</v>
      </c>
      <c r="Q61" s="519"/>
      <c r="R61" s="518" t="s">
        <v>442</v>
      </c>
      <c r="S61" s="520"/>
      <c r="T61" s="520"/>
      <c r="U61" s="519"/>
      <c r="V61" s="504" t="s">
        <v>441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134</v>
      </c>
      <c r="B62" s="507"/>
      <c r="C62" s="257" t="s">
        <v>148</v>
      </c>
      <c r="D62" s="257" t="s">
        <v>225</v>
      </c>
      <c r="E62" s="257" t="s">
        <v>420</v>
      </c>
      <c r="F62" s="504" t="s">
        <v>123</v>
      </c>
      <c r="G62" s="505"/>
      <c r="H62" s="505"/>
      <c r="I62" s="505"/>
      <c r="J62" s="505"/>
      <c r="K62" s="505"/>
      <c r="L62" s="505"/>
      <c r="M62" s="506"/>
      <c r="N62" s="256"/>
      <c r="O62" s="263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 t="s">
        <v>116</v>
      </c>
      <c r="B63" s="507"/>
      <c r="C63" s="257" t="s">
        <v>186</v>
      </c>
      <c r="D63" s="257" t="s">
        <v>137</v>
      </c>
      <c r="E63" s="257" t="s">
        <v>419</v>
      </c>
      <c r="F63" s="504" t="s">
        <v>435</v>
      </c>
      <c r="G63" s="505"/>
      <c r="H63" s="505"/>
      <c r="I63" s="505"/>
      <c r="J63" s="505"/>
      <c r="K63" s="505"/>
      <c r="L63" s="505"/>
      <c r="M63" s="506"/>
      <c r="N63" s="256"/>
      <c r="O63" s="263"/>
      <c r="P63" s="518"/>
      <c r="Q63" s="519"/>
      <c r="R63" s="518"/>
      <c r="S63" s="520"/>
      <c r="T63" s="520"/>
      <c r="U63" s="519"/>
      <c r="V63" s="504"/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 t="s">
        <v>116</v>
      </c>
      <c r="B64" s="507"/>
      <c r="C64" s="257" t="s">
        <v>247</v>
      </c>
      <c r="D64" s="257" t="s">
        <v>121</v>
      </c>
      <c r="E64" s="274" t="s">
        <v>418</v>
      </c>
      <c r="F64" s="504" t="s">
        <v>436</v>
      </c>
      <c r="G64" s="505"/>
      <c r="H64" s="505"/>
      <c r="I64" s="505"/>
      <c r="J64" s="505"/>
      <c r="K64" s="505"/>
      <c r="L64" s="505"/>
      <c r="M64" s="506"/>
      <c r="N64" s="256"/>
      <c r="O64" s="263"/>
      <c r="P64" s="518"/>
      <c r="Q64" s="519"/>
      <c r="R64" s="518"/>
      <c r="S64" s="520"/>
      <c r="T64" s="520"/>
      <c r="U64" s="519"/>
      <c r="V64" s="504"/>
      <c r="W64" s="505"/>
      <c r="X64" s="505"/>
      <c r="Y64" s="505"/>
      <c r="Z64" s="505"/>
      <c r="AA64" s="505"/>
      <c r="AB64" s="505"/>
      <c r="AC64" s="505"/>
      <c r="AD64" s="506"/>
    </row>
    <row r="65" spans="1:32" ht="27" customHeight="1">
      <c r="A65" s="517"/>
      <c r="B65" s="507"/>
      <c r="C65" s="257"/>
      <c r="D65" s="257"/>
      <c r="E65" s="257"/>
      <c r="F65" s="504"/>
      <c r="G65" s="505"/>
      <c r="H65" s="505"/>
      <c r="I65" s="505"/>
      <c r="J65" s="505"/>
      <c r="K65" s="505"/>
      <c r="L65" s="505"/>
      <c r="M65" s="506"/>
      <c r="N65" s="256"/>
      <c r="O65" s="263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260"/>
      <c r="D66" s="260"/>
      <c r="E66" s="257"/>
      <c r="F66" s="504"/>
      <c r="G66" s="505"/>
      <c r="H66" s="505"/>
      <c r="I66" s="505"/>
      <c r="J66" s="505"/>
      <c r="K66" s="505"/>
      <c r="L66" s="505"/>
      <c r="M66" s="506"/>
      <c r="N66" s="256"/>
      <c r="O66" s="263"/>
      <c r="P66" s="518"/>
      <c r="Q66" s="519"/>
      <c r="R66" s="518"/>
      <c r="S66" s="520"/>
      <c r="T66" s="520"/>
      <c r="U66" s="519"/>
      <c r="V66" s="491"/>
      <c r="W66" s="491"/>
      <c r="X66" s="491"/>
      <c r="Y66" s="491"/>
      <c r="Z66" s="491"/>
      <c r="AA66" s="491"/>
      <c r="AB66" s="491"/>
      <c r="AC66" s="491"/>
      <c r="AD66" s="508"/>
    </row>
    <row r="67" spans="1:32" ht="27" customHeight="1">
      <c r="A67" s="502"/>
      <c r="B67" s="503"/>
      <c r="C67" s="260"/>
      <c r="D67" s="260"/>
      <c r="E67" s="257"/>
      <c r="F67" s="504"/>
      <c r="G67" s="505"/>
      <c r="H67" s="505"/>
      <c r="I67" s="505"/>
      <c r="J67" s="505"/>
      <c r="K67" s="505"/>
      <c r="L67" s="505"/>
      <c r="M67" s="506"/>
      <c r="N67" s="256"/>
      <c r="O67" s="263"/>
      <c r="P67" s="507"/>
      <c r="Q67" s="507"/>
      <c r="R67" s="507"/>
      <c r="S67" s="507"/>
      <c r="T67" s="507"/>
      <c r="U67" s="507"/>
      <c r="V67" s="491"/>
      <c r="W67" s="491"/>
      <c r="X67" s="491"/>
      <c r="Y67" s="491"/>
      <c r="Z67" s="491"/>
      <c r="AA67" s="491"/>
      <c r="AB67" s="491"/>
      <c r="AC67" s="491"/>
      <c r="AD67" s="508"/>
      <c r="AF67" s="84">
        <f>8*3000</f>
        <v>24000</v>
      </c>
    </row>
    <row r="68" spans="1:32" ht="27" customHeight="1" thickBot="1">
      <c r="A68" s="509"/>
      <c r="B68" s="510"/>
      <c r="C68" s="258"/>
      <c r="D68" s="259"/>
      <c r="E68" s="258"/>
      <c r="F68" s="511"/>
      <c r="G68" s="512"/>
      <c r="H68" s="512"/>
      <c r="I68" s="512"/>
      <c r="J68" s="512"/>
      <c r="K68" s="512"/>
      <c r="L68" s="512"/>
      <c r="M68" s="513"/>
      <c r="N68" s="111"/>
      <c r="O68" s="103"/>
      <c r="P68" s="514"/>
      <c r="Q68" s="514"/>
      <c r="R68" s="514"/>
      <c r="S68" s="514"/>
      <c r="T68" s="514"/>
      <c r="U68" s="514"/>
      <c r="V68" s="515"/>
      <c r="W68" s="515"/>
      <c r="X68" s="515"/>
      <c r="Y68" s="515"/>
      <c r="Z68" s="515"/>
      <c r="AA68" s="515"/>
      <c r="AB68" s="515"/>
      <c r="AC68" s="515"/>
      <c r="AD68" s="516"/>
      <c r="AF68" s="84">
        <f>16*3000</f>
        <v>48000</v>
      </c>
    </row>
    <row r="69" spans="1:32" ht="27.75" thickBot="1">
      <c r="A69" s="500" t="s">
        <v>445</v>
      </c>
      <c r="B69" s="500"/>
      <c r="C69" s="500"/>
      <c r="D69" s="500"/>
      <c r="E69" s="500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501" t="s">
        <v>111</v>
      </c>
      <c r="B70" s="498"/>
      <c r="C70" s="261" t="s">
        <v>2</v>
      </c>
      <c r="D70" s="261" t="s">
        <v>37</v>
      </c>
      <c r="E70" s="261" t="s">
        <v>3</v>
      </c>
      <c r="F70" s="498" t="s">
        <v>109</v>
      </c>
      <c r="G70" s="498"/>
      <c r="H70" s="498"/>
      <c r="I70" s="498"/>
      <c r="J70" s="498"/>
      <c r="K70" s="498" t="s">
        <v>39</v>
      </c>
      <c r="L70" s="498"/>
      <c r="M70" s="261" t="s">
        <v>40</v>
      </c>
      <c r="N70" s="498" t="s">
        <v>41</v>
      </c>
      <c r="O70" s="498"/>
      <c r="P70" s="495" t="s">
        <v>42</v>
      </c>
      <c r="Q70" s="497"/>
      <c r="R70" s="495" t="s">
        <v>43</v>
      </c>
      <c r="S70" s="496"/>
      <c r="T70" s="496"/>
      <c r="U70" s="496"/>
      <c r="V70" s="496"/>
      <c r="W70" s="496"/>
      <c r="X70" s="496"/>
      <c r="Y70" s="496"/>
      <c r="Z70" s="496"/>
      <c r="AA70" s="497"/>
      <c r="AB70" s="498" t="s">
        <v>44</v>
      </c>
      <c r="AC70" s="498"/>
      <c r="AD70" s="499"/>
      <c r="AF70" s="84">
        <f>SUM(AF67:AF69)</f>
        <v>96000</v>
      </c>
    </row>
    <row r="71" spans="1:32" ht="25.5" customHeight="1">
      <c r="A71" s="486">
        <v>1</v>
      </c>
      <c r="B71" s="487"/>
      <c r="C71" s="104"/>
      <c r="D71" s="265"/>
      <c r="E71" s="262"/>
      <c r="F71" s="488"/>
      <c r="G71" s="478"/>
      <c r="H71" s="478"/>
      <c r="I71" s="478"/>
      <c r="J71" s="478"/>
      <c r="K71" s="478"/>
      <c r="L71" s="478"/>
      <c r="M71" s="51"/>
      <c r="N71" s="489"/>
      <c r="O71" s="489"/>
      <c r="P71" s="490"/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2</v>
      </c>
      <c r="B72" s="487"/>
      <c r="C72" s="104"/>
      <c r="D72" s="265"/>
      <c r="E72" s="262"/>
      <c r="F72" s="492"/>
      <c r="G72" s="493"/>
      <c r="H72" s="493"/>
      <c r="I72" s="493"/>
      <c r="J72" s="494"/>
      <c r="K72" s="478"/>
      <c r="L72" s="478"/>
      <c r="M72" s="51"/>
      <c r="N72" s="489"/>
      <c r="O72" s="489"/>
      <c r="P72" s="490"/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3</v>
      </c>
      <c r="B73" s="487"/>
      <c r="C73" s="104"/>
      <c r="D73" s="265"/>
      <c r="E73" s="262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4</v>
      </c>
      <c r="B74" s="487"/>
      <c r="C74" s="104"/>
      <c r="D74" s="265"/>
      <c r="E74" s="262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5</v>
      </c>
      <c r="B75" s="487"/>
      <c r="C75" s="104"/>
      <c r="D75" s="265"/>
      <c r="E75" s="262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6</v>
      </c>
      <c r="B76" s="487"/>
      <c r="C76" s="104"/>
      <c r="D76" s="265"/>
      <c r="E76" s="262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7</v>
      </c>
      <c r="B77" s="487"/>
      <c r="C77" s="104"/>
      <c r="D77" s="265"/>
      <c r="E77" s="262"/>
      <c r="F77" s="492"/>
      <c r="G77" s="493"/>
      <c r="H77" s="493"/>
      <c r="I77" s="493"/>
      <c r="J77" s="494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8</v>
      </c>
      <c r="B78" s="487"/>
      <c r="C78" s="104"/>
      <c r="D78" s="265"/>
      <c r="E78" s="262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9</v>
      </c>
      <c r="B79" s="487"/>
      <c r="C79" s="104"/>
      <c r="D79" s="265"/>
      <c r="E79" s="262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5.5" customHeight="1">
      <c r="A80" s="486">
        <v>10</v>
      </c>
      <c r="B80" s="487"/>
      <c r="C80" s="104"/>
      <c r="D80" s="265"/>
      <c r="E80" s="262"/>
      <c r="F80" s="488"/>
      <c r="G80" s="478"/>
      <c r="H80" s="478"/>
      <c r="I80" s="478"/>
      <c r="J80" s="478"/>
      <c r="K80" s="478"/>
      <c r="L80" s="478"/>
      <c r="M80" s="51"/>
      <c r="N80" s="489"/>
      <c r="O80" s="489"/>
      <c r="P80" s="490"/>
      <c r="Q80" s="490"/>
      <c r="R80" s="491"/>
      <c r="S80" s="491"/>
      <c r="T80" s="491"/>
      <c r="U80" s="491"/>
      <c r="V80" s="491"/>
      <c r="W80" s="491"/>
      <c r="X80" s="491"/>
      <c r="Y80" s="491"/>
      <c r="Z80" s="491"/>
      <c r="AA80" s="491"/>
      <c r="AB80" s="478"/>
      <c r="AC80" s="478"/>
      <c r="AD80" s="479"/>
      <c r="AF80" s="50"/>
    </row>
    <row r="81" spans="1:32" ht="26.25" customHeight="1" thickBot="1">
      <c r="A81" s="458" t="s">
        <v>446</v>
      </c>
      <c r="B81" s="458"/>
      <c r="C81" s="458"/>
      <c r="D81" s="458"/>
      <c r="E81" s="458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80" t="s">
        <v>111</v>
      </c>
      <c r="B82" s="481"/>
      <c r="C82" s="264" t="s">
        <v>2</v>
      </c>
      <c r="D82" s="264" t="s">
        <v>37</v>
      </c>
      <c r="E82" s="264" t="s">
        <v>120</v>
      </c>
      <c r="F82" s="460" t="s">
        <v>38</v>
      </c>
      <c r="G82" s="460"/>
      <c r="H82" s="460"/>
      <c r="I82" s="460"/>
      <c r="J82" s="460"/>
      <c r="K82" s="482" t="s">
        <v>58</v>
      </c>
      <c r="L82" s="483"/>
      <c r="M82" s="483"/>
      <c r="N82" s="483"/>
      <c r="O82" s="483"/>
      <c r="P82" s="483"/>
      <c r="Q82" s="483"/>
      <c r="R82" s="483"/>
      <c r="S82" s="484"/>
      <c r="T82" s="460" t="s">
        <v>49</v>
      </c>
      <c r="U82" s="460"/>
      <c r="V82" s="482" t="s">
        <v>50</v>
      </c>
      <c r="W82" s="484"/>
      <c r="X82" s="483" t="s">
        <v>51</v>
      </c>
      <c r="Y82" s="483"/>
      <c r="Z82" s="483"/>
      <c r="AA82" s="483"/>
      <c r="AB82" s="483"/>
      <c r="AC82" s="483"/>
      <c r="AD82" s="485"/>
      <c r="AF82" s="50"/>
    </row>
    <row r="83" spans="1:32" ht="33.75" customHeight="1">
      <c r="A83" s="452">
        <v>1</v>
      </c>
      <c r="B83" s="453"/>
      <c r="C83" s="266"/>
      <c r="D83" s="266"/>
      <c r="E83" s="65"/>
      <c r="F83" s="467"/>
      <c r="G83" s="468"/>
      <c r="H83" s="468"/>
      <c r="I83" s="468"/>
      <c r="J83" s="469"/>
      <c r="K83" s="470"/>
      <c r="L83" s="471"/>
      <c r="M83" s="471"/>
      <c r="N83" s="471"/>
      <c r="O83" s="471"/>
      <c r="P83" s="471"/>
      <c r="Q83" s="471"/>
      <c r="R83" s="471"/>
      <c r="S83" s="472"/>
      <c r="T83" s="473"/>
      <c r="U83" s="474"/>
      <c r="V83" s="475"/>
      <c r="W83" s="475"/>
      <c r="X83" s="476"/>
      <c r="Y83" s="476"/>
      <c r="Z83" s="476"/>
      <c r="AA83" s="476"/>
      <c r="AB83" s="476"/>
      <c r="AC83" s="476"/>
      <c r="AD83" s="477"/>
      <c r="AF83" s="50"/>
    </row>
    <row r="84" spans="1:32" ht="30" customHeight="1">
      <c r="A84" s="445">
        <f>A83+1</f>
        <v>2</v>
      </c>
      <c r="B84" s="446"/>
      <c r="C84" s="265"/>
      <c r="D84" s="265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ref="A85:A89" si="19">A84+1</f>
        <v>3</v>
      </c>
      <c r="B85" s="446"/>
      <c r="C85" s="265"/>
      <c r="D85" s="265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9"/>
        <v>4</v>
      </c>
      <c r="B86" s="446"/>
      <c r="C86" s="265"/>
      <c r="D86" s="265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9"/>
        <v>5</v>
      </c>
      <c r="B87" s="446"/>
      <c r="C87" s="265"/>
      <c r="D87" s="265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9"/>
        <v>6</v>
      </c>
      <c r="B88" s="446"/>
      <c r="C88" s="265"/>
      <c r="D88" s="265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0" customHeight="1">
      <c r="A89" s="445">
        <f t="shared" si="19"/>
        <v>7</v>
      </c>
      <c r="B89" s="446"/>
      <c r="C89" s="265"/>
      <c r="D89" s="265"/>
      <c r="E89" s="32"/>
      <c r="F89" s="446"/>
      <c r="G89" s="446"/>
      <c r="H89" s="446"/>
      <c r="I89" s="446"/>
      <c r="J89" s="446"/>
      <c r="K89" s="461"/>
      <c r="L89" s="462"/>
      <c r="M89" s="462"/>
      <c r="N89" s="462"/>
      <c r="O89" s="462"/>
      <c r="P89" s="462"/>
      <c r="Q89" s="462"/>
      <c r="R89" s="462"/>
      <c r="S89" s="463"/>
      <c r="T89" s="464"/>
      <c r="U89" s="464"/>
      <c r="V89" s="464"/>
      <c r="W89" s="464"/>
      <c r="X89" s="465"/>
      <c r="Y89" s="465"/>
      <c r="Z89" s="465"/>
      <c r="AA89" s="465"/>
      <c r="AB89" s="465"/>
      <c r="AC89" s="465"/>
      <c r="AD89" s="466"/>
      <c r="AF89" s="50"/>
    </row>
    <row r="90" spans="1:32" ht="36" thickBot="1">
      <c r="A90" s="458" t="s">
        <v>447</v>
      </c>
      <c r="B90" s="458"/>
      <c r="C90" s="458"/>
      <c r="D90" s="458"/>
      <c r="E90" s="458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59" t="s">
        <v>111</v>
      </c>
      <c r="B91" s="460"/>
      <c r="C91" s="450" t="s">
        <v>52</v>
      </c>
      <c r="D91" s="450"/>
      <c r="E91" s="450" t="s">
        <v>53</v>
      </c>
      <c r="F91" s="450"/>
      <c r="G91" s="450"/>
      <c r="H91" s="450"/>
      <c r="I91" s="450"/>
      <c r="J91" s="450"/>
      <c r="K91" s="450" t="s">
        <v>54</v>
      </c>
      <c r="L91" s="450"/>
      <c r="M91" s="450"/>
      <c r="N91" s="450"/>
      <c r="O91" s="450"/>
      <c r="P91" s="450"/>
      <c r="Q91" s="450"/>
      <c r="R91" s="450"/>
      <c r="S91" s="450"/>
      <c r="T91" s="450" t="s">
        <v>55</v>
      </c>
      <c r="U91" s="450"/>
      <c r="V91" s="450" t="s">
        <v>56</v>
      </c>
      <c r="W91" s="450"/>
      <c r="X91" s="450"/>
      <c r="Y91" s="450" t="s">
        <v>51</v>
      </c>
      <c r="Z91" s="450"/>
      <c r="AA91" s="450"/>
      <c r="AB91" s="450"/>
      <c r="AC91" s="450"/>
      <c r="AD91" s="451"/>
      <c r="AF91" s="50"/>
    </row>
    <row r="92" spans="1:32" ht="30.75" customHeight="1">
      <c r="A92" s="452">
        <v>1</v>
      </c>
      <c r="B92" s="453"/>
      <c r="C92" s="454">
        <v>9</v>
      </c>
      <c r="D92" s="454"/>
      <c r="E92" s="454" t="s">
        <v>124</v>
      </c>
      <c r="F92" s="454"/>
      <c r="G92" s="454"/>
      <c r="H92" s="454"/>
      <c r="I92" s="454"/>
      <c r="J92" s="454"/>
      <c r="K92" s="454" t="s">
        <v>129</v>
      </c>
      <c r="L92" s="454"/>
      <c r="M92" s="454"/>
      <c r="N92" s="454"/>
      <c r="O92" s="454"/>
      <c r="P92" s="454"/>
      <c r="Q92" s="454"/>
      <c r="R92" s="454"/>
      <c r="S92" s="454"/>
      <c r="T92" s="454" t="s">
        <v>125</v>
      </c>
      <c r="U92" s="454"/>
      <c r="V92" s="455">
        <v>1900000</v>
      </c>
      <c r="W92" s="455"/>
      <c r="X92" s="455"/>
      <c r="Y92" s="456"/>
      <c r="Z92" s="456"/>
      <c r="AA92" s="456"/>
      <c r="AB92" s="456"/>
      <c r="AC92" s="456"/>
      <c r="AD92" s="457"/>
      <c r="AF92" s="50"/>
    </row>
    <row r="93" spans="1:32" ht="30.75" customHeight="1">
      <c r="A93" s="445">
        <v>2</v>
      </c>
      <c r="B93" s="446"/>
      <c r="C93" s="447"/>
      <c r="D93" s="447"/>
      <c r="E93" s="447"/>
      <c r="F93" s="447"/>
      <c r="G93" s="447"/>
      <c r="H93" s="447"/>
      <c r="I93" s="447"/>
      <c r="J93" s="447"/>
      <c r="K93" s="447"/>
      <c r="L93" s="447"/>
      <c r="M93" s="447"/>
      <c r="N93" s="447"/>
      <c r="O93" s="447"/>
      <c r="P93" s="447"/>
      <c r="Q93" s="447"/>
      <c r="R93" s="447"/>
      <c r="S93" s="447"/>
      <c r="T93" s="448"/>
      <c r="U93" s="448"/>
      <c r="V93" s="449"/>
      <c r="W93" s="449"/>
      <c r="X93" s="449"/>
      <c r="Y93" s="437"/>
      <c r="Z93" s="437"/>
      <c r="AA93" s="437"/>
      <c r="AB93" s="437"/>
      <c r="AC93" s="437"/>
      <c r="AD93" s="438"/>
      <c r="AF93" s="50"/>
    </row>
    <row r="94" spans="1:32" ht="30.75" customHeight="1" thickBot="1">
      <c r="A94" s="439">
        <v>3</v>
      </c>
      <c r="B94" s="440"/>
      <c r="C94" s="441"/>
      <c r="D94" s="441"/>
      <c r="E94" s="441"/>
      <c r="F94" s="441"/>
      <c r="G94" s="441"/>
      <c r="H94" s="441"/>
      <c r="I94" s="441"/>
      <c r="J94" s="441"/>
      <c r="K94" s="441"/>
      <c r="L94" s="441"/>
      <c r="M94" s="441"/>
      <c r="N94" s="441"/>
      <c r="O94" s="441"/>
      <c r="P94" s="441"/>
      <c r="Q94" s="441"/>
      <c r="R94" s="441"/>
      <c r="S94" s="441"/>
      <c r="T94" s="441"/>
      <c r="U94" s="441"/>
      <c r="V94" s="442"/>
      <c r="W94" s="442"/>
      <c r="X94" s="442"/>
      <c r="Y94" s="443"/>
      <c r="Z94" s="443"/>
      <c r="AA94" s="443"/>
      <c r="AB94" s="443"/>
      <c r="AC94" s="443"/>
      <c r="AD94" s="444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DDB9-75B4-4D9C-A908-C3E6616C928E}">
  <sheetPr>
    <pageSetUpPr fitToPage="1"/>
  </sheetPr>
  <dimension ref="A1:AF93"/>
  <sheetViews>
    <sheetView view="pageBreakPreview" topLeftCell="A52" zoomScale="70" zoomScaleNormal="72" zoomScaleSheetLayoutView="70" workbookViewId="0">
      <selection activeCell="P73" sqref="P73:Q7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448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279" t="s">
        <v>17</v>
      </c>
      <c r="L5" s="279" t="s">
        <v>18</v>
      </c>
      <c r="M5" s="279" t="s">
        <v>19</v>
      </c>
      <c r="N5" s="27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116</v>
      </c>
      <c r="D6" s="52" t="s">
        <v>137</v>
      </c>
      <c r="E6" s="53" t="s">
        <v>419</v>
      </c>
      <c r="F6" s="30" t="s">
        <v>128</v>
      </c>
      <c r="G6" s="12">
        <v>4</v>
      </c>
      <c r="H6" s="13">
        <v>24</v>
      </c>
      <c r="I6" s="31">
        <v>20000</v>
      </c>
      <c r="J6" s="14">
        <v>10679</v>
      </c>
      <c r="K6" s="15">
        <f>L6+16268</f>
        <v>26947</v>
      </c>
      <c r="L6" s="15">
        <f>2060*4+813*3</f>
        <v>10679</v>
      </c>
      <c r="M6" s="15">
        <f t="shared" ref="M6:M27" si="0">L6-N6</f>
        <v>10679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12</v>
      </c>
      <c r="Q6" s="40">
        <f t="shared" ref="Q6:Q27" si="3">SUM(R6:AA6)</f>
        <v>12</v>
      </c>
      <c r="R6" s="7"/>
      <c r="S6" s="6"/>
      <c r="T6" s="16"/>
      <c r="U6" s="16"/>
      <c r="V6" s="17"/>
      <c r="W6" s="5">
        <v>12</v>
      </c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0.5</v>
      </c>
      <c r="AD6" s="10">
        <f t="shared" ref="AD6:AD27" si="6">AC6*AB6*(1-O6)</f>
        <v>0.5</v>
      </c>
      <c r="AE6" s="36">
        <f t="shared" ref="AE6:AE27" si="7">$AD$28</f>
        <v>0.39204545454545453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10491</v>
      </c>
      <c r="K7" s="15">
        <f>L7+4540+5413+4776+3810+3773+2780+4786+5910+5528+3614+7707+9828+3822+6888+11032+9113+10064+12756+9446+2965+8390+12796+12772+12708+12736+7762</f>
        <v>206206</v>
      </c>
      <c r="L7" s="15">
        <f>2197+242+850*2+3176*2</f>
        <v>10491</v>
      </c>
      <c r="M7" s="15">
        <f t="shared" si="0"/>
        <v>10491</v>
      </c>
      <c r="N7" s="15">
        <v>0</v>
      </c>
      <c r="O7" s="58">
        <f t="shared" si="1"/>
        <v>0</v>
      </c>
      <c r="P7" s="39">
        <f t="shared" si="2"/>
        <v>23</v>
      </c>
      <c r="Q7" s="40">
        <f t="shared" si="3"/>
        <v>1</v>
      </c>
      <c r="R7" s="7"/>
      <c r="S7" s="6">
        <v>1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0.95833333333333337</v>
      </c>
      <c r="AD7" s="10">
        <f t="shared" si="6"/>
        <v>0.95833333333333337</v>
      </c>
      <c r="AE7" s="36">
        <f t="shared" si="7"/>
        <v>0.39204545454545453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126000</v>
      </c>
      <c r="J8" s="14">
        <v>11214</v>
      </c>
      <c r="K8" s="15">
        <f>L8+1708+5184+11810+11756+5148+11086+11698+11644+7968+11268+11096</f>
        <v>111580</v>
      </c>
      <c r="L8" s="15">
        <f>2921*2+2686*2</f>
        <v>11214</v>
      </c>
      <c r="M8" s="15">
        <f t="shared" si="0"/>
        <v>11214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>
        <v>1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6">
        <f t="shared" si="7"/>
        <v>0.39204545454545453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197</v>
      </c>
      <c r="D9" s="52"/>
      <c r="E9" s="53" t="s">
        <v>193</v>
      </c>
      <c r="F9" s="30" t="s">
        <v>212</v>
      </c>
      <c r="G9" s="12">
        <v>2</v>
      </c>
      <c r="H9" s="13">
        <v>24</v>
      </c>
      <c r="I9" s="7">
        <v>126000</v>
      </c>
      <c r="J9" s="14">
        <v>12290</v>
      </c>
      <c r="K9" s="15">
        <f>L9+11914+12528+12574+9262+2544+9278+12614+12560+12426+12346+11482</f>
        <v>131818</v>
      </c>
      <c r="L9" s="15">
        <f>3041*2+3104*2</f>
        <v>12290</v>
      </c>
      <c r="M9" s="15">
        <f t="shared" si="0"/>
        <v>12290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0.39204545454545453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126000</v>
      </c>
      <c r="J10" s="14">
        <v>11538</v>
      </c>
      <c r="K10" s="15">
        <f>L10+11830+12840+12918+12834+5574+11176+13572+8552+12834+12546+11538</f>
        <v>126214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0.39204545454545453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164</v>
      </c>
      <c r="E11" s="53" t="s">
        <v>362</v>
      </c>
      <c r="F11" s="30" t="s">
        <v>126</v>
      </c>
      <c r="G11" s="33">
        <v>1</v>
      </c>
      <c r="H11" s="35">
        <v>24</v>
      </c>
      <c r="I11" s="7">
        <v>6000</v>
      </c>
      <c r="J11" s="14">
        <v>1050</v>
      </c>
      <c r="K11" s="15">
        <f>L11+5463+1050</f>
        <v>6513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0.39204545454545453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383</v>
      </c>
      <c r="F12" s="30" t="s">
        <v>278</v>
      </c>
      <c r="G12" s="12">
        <v>4</v>
      </c>
      <c r="H12" s="13">
        <v>22</v>
      </c>
      <c r="I12" s="31">
        <v>20000</v>
      </c>
      <c r="J12" s="5">
        <v>18572</v>
      </c>
      <c r="K12" s="15">
        <f>L12+18572</f>
        <v>18572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0.39204545454545453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134</v>
      </c>
      <c r="D13" s="52" t="s">
        <v>449</v>
      </c>
      <c r="E13" s="53" t="s">
        <v>450</v>
      </c>
      <c r="F13" s="30" t="s">
        <v>126</v>
      </c>
      <c r="G13" s="33">
        <v>1</v>
      </c>
      <c r="H13" s="35">
        <v>22</v>
      </c>
      <c r="I13" s="7">
        <v>4500</v>
      </c>
      <c r="J13" s="14">
        <v>3915</v>
      </c>
      <c r="K13" s="15">
        <f>L13</f>
        <v>3915</v>
      </c>
      <c r="L13" s="15">
        <f>1559+2356</f>
        <v>3915</v>
      </c>
      <c r="M13" s="15">
        <f t="shared" si="0"/>
        <v>3915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/>
      <c r="T13" s="16">
        <v>3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6">
        <f t="shared" si="7"/>
        <v>0.39204545454545453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294</v>
      </c>
      <c r="F14" s="30" t="s">
        <v>149</v>
      </c>
      <c r="G14" s="33">
        <v>1</v>
      </c>
      <c r="H14" s="35">
        <v>30</v>
      </c>
      <c r="I14" s="7">
        <v>100</v>
      </c>
      <c r="J14" s="5">
        <v>100</v>
      </c>
      <c r="K14" s="15">
        <f>L14+100</f>
        <v>100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0.39204545454545453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0.39204545454545453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116</v>
      </c>
      <c r="D16" s="52" t="s">
        <v>121</v>
      </c>
      <c r="E16" s="53" t="s">
        <v>418</v>
      </c>
      <c r="F16" s="30" t="s">
        <v>433</v>
      </c>
      <c r="G16" s="12">
        <v>4</v>
      </c>
      <c r="H16" s="13">
        <v>24</v>
      </c>
      <c r="I16" s="7">
        <v>20000</v>
      </c>
      <c r="J16" s="14">
        <v>11124</v>
      </c>
      <c r="K16" s="15">
        <f>L16+13316</f>
        <v>24440</v>
      </c>
      <c r="L16" s="15">
        <f>2781*4</f>
        <v>11124</v>
      </c>
      <c r="M16" s="15">
        <f t="shared" si="0"/>
        <v>11124</v>
      </c>
      <c r="N16" s="15">
        <v>0</v>
      </c>
      <c r="O16" s="58">
        <f t="shared" si="1"/>
        <v>0</v>
      </c>
      <c r="P16" s="39">
        <f t="shared" si="2"/>
        <v>12</v>
      </c>
      <c r="Q16" s="40">
        <f t="shared" si="3"/>
        <v>12</v>
      </c>
      <c r="R16" s="7"/>
      <c r="S16" s="6"/>
      <c r="T16" s="16"/>
      <c r="U16" s="16"/>
      <c r="V16" s="17"/>
      <c r="W16" s="5">
        <v>12</v>
      </c>
      <c r="X16" s="16"/>
      <c r="Y16" s="16"/>
      <c r="Z16" s="16"/>
      <c r="AA16" s="18"/>
      <c r="AB16" s="8">
        <f t="shared" si="4"/>
        <v>1</v>
      </c>
      <c r="AC16" s="9">
        <f t="shared" si="5"/>
        <v>0.5</v>
      </c>
      <c r="AD16" s="10">
        <f t="shared" si="6"/>
        <v>0.5</v>
      </c>
      <c r="AE16" s="36">
        <f t="shared" si="7"/>
        <v>0.39204545454545453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28200</v>
      </c>
      <c r="K17" s="15">
        <f>L17+26370+39325+19755+18405+40885+18620+38310+41130+40940+28200</f>
        <v>311940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0.39204545454545453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134</v>
      </c>
      <c r="D18" s="52" t="s">
        <v>225</v>
      </c>
      <c r="E18" s="53" t="s">
        <v>440</v>
      </c>
      <c r="F18" s="30" t="s">
        <v>135</v>
      </c>
      <c r="G18" s="33">
        <v>1</v>
      </c>
      <c r="H18" s="35">
        <v>24</v>
      </c>
      <c r="I18" s="7">
        <v>2000</v>
      </c>
      <c r="J18" s="14">
        <v>3144</v>
      </c>
      <c r="K18" s="15">
        <f>L18</f>
        <v>3144</v>
      </c>
      <c r="L18" s="15">
        <f>2147+997</f>
        <v>3144</v>
      </c>
      <c r="M18" s="15">
        <f t="shared" si="0"/>
        <v>3144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/>
      <c r="T18" s="16"/>
      <c r="U18" s="16"/>
      <c r="V18" s="17"/>
      <c r="W18" s="5">
        <v>4</v>
      </c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 t="shared" si="7"/>
        <v>0.39204545454545453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401</v>
      </c>
      <c r="F19" s="30" t="s">
        <v>127</v>
      </c>
      <c r="G19" s="33">
        <v>1</v>
      </c>
      <c r="H19" s="35">
        <v>24</v>
      </c>
      <c r="I19" s="7">
        <v>20000</v>
      </c>
      <c r="J19" s="14">
        <v>5211</v>
      </c>
      <c r="K19" s="15">
        <f>L19+2290+5013</f>
        <v>12514</v>
      </c>
      <c r="L19" s="15">
        <f>2591+2620</f>
        <v>5211</v>
      </c>
      <c r="M19" s="15">
        <f t="shared" si="0"/>
        <v>5211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0.39204545454545453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133</v>
      </c>
      <c r="E20" s="53" t="s">
        <v>221</v>
      </c>
      <c r="F20" s="30" t="s">
        <v>127</v>
      </c>
      <c r="G20" s="12">
        <v>3</v>
      </c>
      <c r="H20" s="13">
        <v>24</v>
      </c>
      <c r="I20" s="7">
        <v>150000</v>
      </c>
      <c r="J20" s="14">
        <v>18372</v>
      </c>
      <c r="K20" s="15">
        <f>L20+20020+14558+6956+4260+13958+8440+18763+11805+15424+13830</f>
        <v>146386</v>
      </c>
      <c r="L20" s="15">
        <f>3086*3+3038*3</f>
        <v>18372</v>
      </c>
      <c r="M20" s="15">
        <f t="shared" si="0"/>
        <v>18372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0.39204545454545453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61480</v>
      </c>
      <c r="K21" s="15">
        <f>L21+50740+61508+62116+62068+58848+54656+61696+61724+33064+28160+54396+62000+61828+61480</f>
        <v>774284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0.39204545454545453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0.39204545454545453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0.39204545454545453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0.39204545454545453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0.39204545454545453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0.39204545454545453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539840</v>
      </c>
      <c r="K27" s="15">
        <f>L27+396032+523136+552288+502656</f>
        <v>2513952</v>
      </c>
      <c r="L27" s="15">
        <f>9772*32+7098*32</f>
        <v>539840</v>
      </c>
      <c r="M27" s="15">
        <f t="shared" si="0"/>
        <v>539840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20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6"/>
        <v>1</v>
      </c>
      <c r="AE27" s="36">
        <f t="shared" si="7"/>
        <v>0.39204545454545453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4672600</v>
      </c>
      <c r="J28" s="19">
        <f t="shared" si="9"/>
        <v>798352</v>
      </c>
      <c r="K28" s="20">
        <f t="shared" si="9"/>
        <v>5163901</v>
      </c>
      <c r="L28" s="21">
        <f t="shared" si="9"/>
        <v>626280</v>
      </c>
      <c r="M28" s="20">
        <f t="shared" si="9"/>
        <v>626280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207</v>
      </c>
      <c r="Q28" s="43">
        <f t="shared" si="10"/>
        <v>321</v>
      </c>
      <c r="R28" s="23">
        <f t="shared" si="10"/>
        <v>0</v>
      </c>
      <c r="S28" s="24">
        <f t="shared" si="10"/>
        <v>2</v>
      </c>
      <c r="T28" s="24">
        <f t="shared" si="10"/>
        <v>3</v>
      </c>
      <c r="U28" s="24">
        <f t="shared" si="10"/>
        <v>0</v>
      </c>
      <c r="V28" s="25">
        <f t="shared" si="10"/>
        <v>24</v>
      </c>
      <c r="W28" s="26">
        <f t="shared" si="10"/>
        <v>268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24</v>
      </c>
      <c r="AB28" s="28">
        <f>AVERAGE(AB6:AB27)</f>
        <v>0.5</v>
      </c>
      <c r="AC28" s="4">
        <f>AVERAGE(AC6:AC27)</f>
        <v>0.39204545454545453</v>
      </c>
      <c r="AD28" s="4">
        <f>AVERAGE(AD6:AD27)</f>
        <v>0.39204545454545453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451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455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278" t="s">
        <v>46</v>
      </c>
      <c r="D57" s="278" t="s">
        <v>47</v>
      </c>
      <c r="E57" s="278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278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116</v>
      </c>
      <c r="B58" s="507"/>
      <c r="C58" s="283" t="s">
        <v>186</v>
      </c>
      <c r="D58" s="283" t="s">
        <v>137</v>
      </c>
      <c r="E58" s="283" t="s">
        <v>419</v>
      </c>
      <c r="F58" s="504" t="s">
        <v>452</v>
      </c>
      <c r="G58" s="505"/>
      <c r="H58" s="505"/>
      <c r="I58" s="505"/>
      <c r="J58" s="505"/>
      <c r="K58" s="505"/>
      <c r="L58" s="505"/>
      <c r="M58" s="506"/>
      <c r="N58" s="277" t="s">
        <v>112</v>
      </c>
      <c r="O58" s="271" t="s">
        <v>456</v>
      </c>
      <c r="P58" s="518" t="s">
        <v>457</v>
      </c>
      <c r="Q58" s="519"/>
      <c r="R58" s="518" t="s">
        <v>458</v>
      </c>
      <c r="S58" s="520"/>
      <c r="T58" s="520"/>
      <c r="U58" s="519"/>
      <c r="V58" s="504" t="s">
        <v>123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134</v>
      </c>
      <c r="B59" s="507"/>
      <c r="C59" s="283" t="s">
        <v>156</v>
      </c>
      <c r="D59" s="283" t="s">
        <v>137</v>
      </c>
      <c r="E59" s="283" t="s">
        <v>160</v>
      </c>
      <c r="F59" s="504" t="s">
        <v>453</v>
      </c>
      <c r="G59" s="505"/>
      <c r="H59" s="505"/>
      <c r="I59" s="505"/>
      <c r="J59" s="505"/>
      <c r="K59" s="505"/>
      <c r="L59" s="505"/>
      <c r="M59" s="506"/>
      <c r="N59" s="277" t="s">
        <v>112</v>
      </c>
      <c r="O59" s="271" t="s">
        <v>186</v>
      </c>
      <c r="P59" s="518" t="s">
        <v>225</v>
      </c>
      <c r="Q59" s="519"/>
      <c r="R59" s="518" t="s">
        <v>459</v>
      </c>
      <c r="S59" s="520"/>
      <c r="T59" s="520"/>
      <c r="U59" s="519"/>
      <c r="V59" s="504" t="s">
        <v>441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134</v>
      </c>
      <c r="B60" s="507"/>
      <c r="C60" s="274" t="s">
        <v>240</v>
      </c>
      <c r="D60" s="274" t="s">
        <v>439</v>
      </c>
      <c r="E60" s="274" t="s">
        <v>454</v>
      </c>
      <c r="F60" s="504" t="s">
        <v>123</v>
      </c>
      <c r="G60" s="505"/>
      <c r="H60" s="505"/>
      <c r="I60" s="505"/>
      <c r="J60" s="505"/>
      <c r="K60" s="505"/>
      <c r="L60" s="505"/>
      <c r="M60" s="506"/>
      <c r="N60" s="277" t="s">
        <v>134</v>
      </c>
      <c r="O60" s="271" t="s">
        <v>156</v>
      </c>
      <c r="P60" s="518" t="s">
        <v>137</v>
      </c>
      <c r="Q60" s="519"/>
      <c r="R60" s="518" t="s">
        <v>160</v>
      </c>
      <c r="S60" s="520"/>
      <c r="T60" s="520"/>
      <c r="U60" s="519"/>
      <c r="V60" s="504" t="s">
        <v>217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134</v>
      </c>
      <c r="B61" s="507"/>
      <c r="C61" s="274" t="s">
        <v>148</v>
      </c>
      <c r="D61" s="274" t="s">
        <v>439</v>
      </c>
      <c r="E61" s="274" t="s">
        <v>440</v>
      </c>
      <c r="F61" s="504" t="s">
        <v>123</v>
      </c>
      <c r="G61" s="505"/>
      <c r="H61" s="505"/>
      <c r="I61" s="505"/>
      <c r="J61" s="505"/>
      <c r="K61" s="505"/>
      <c r="L61" s="505"/>
      <c r="M61" s="506"/>
      <c r="N61" s="277" t="s">
        <v>461</v>
      </c>
      <c r="O61" s="271" t="s">
        <v>462</v>
      </c>
      <c r="P61" s="518" t="s">
        <v>137</v>
      </c>
      <c r="Q61" s="519"/>
      <c r="R61" s="518" t="s">
        <v>460</v>
      </c>
      <c r="S61" s="520"/>
      <c r="T61" s="520"/>
      <c r="U61" s="519"/>
      <c r="V61" s="504" t="s">
        <v>123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/>
      <c r="B62" s="507"/>
      <c r="C62" s="274"/>
      <c r="D62" s="274"/>
      <c r="E62" s="274"/>
      <c r="F62" s="504"/>
      <c r="G62" s="505"/>
      <c r="H62" s="505"/>
      <c r="I62" s="505"/>
      <c r="J62" s="505"/>
      <c r="K62" s="505"/>
      <c r="L62" s="505"/>
      <c r="M62" s="506"/>
      <c r="N62" s="277" t="s">
        <v>112</v>
      </c>
      <c r="O62" s="271" t="s">
        <v>464</v>
      </c>
      <c r="P62" s="518" t="s">
        <v>465</v>
      </c>
      <c r="Q62" s="519"/>
      <c r="R62" s="518" t="s">
        <v>463</v>
      </c>
      <c r="S62" s="520"/>
      <c r="T62" s="520"/>
      <c r="U62" s="519"/>
      <c r="V62" s="504" t="s">
        <v>123</v>
      </c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/>
      <c r="B63" s="507"/>
      <c r="C63" s="274"/>
      <c r="D63" s="274"/>
      <c r="E63" s="274"/>
      <c r="F63" s="504"/>
      <c r="G63" s="505"/>
      <c r="H63" s="505"/>
      <c r="I63" s="505"/>
      <c r="J63" s="505"/>
      <c r="K63" s="505"/>
      <c r="L63" s="505"/>
      <c r="M63" s="506"/>
      <c r="N63" s="277" t="s">
        <v>468</v>
      </c>
      <c r="O63" s="271" t="s">
        <v>469</v>
      </c>
      <c r="P63" s="518" t="s">
        <v>470</v>
      </c>
      <c r="Q63" s="519"/>
      <c r="R63" s="518" t="s">
        <v>466</v>
      </c>
      <c r="S63" s="520"/>
      <c r="T63" s="520"/>
      <c r="U63" s="519"/>
      <c r="V63" s="504" t="s">
        <v>467</v>
      </c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/>
      <c r="B64" s="507"/>
      <c r="C64" s="274"/>
      <c r="D64" s="274"/>
      <c r="E64" s="274"/>
      <c r="F64" s="504"/>
      <c r="G64" s="505"/>
      <c r="H64" s="505"/>
      <c r="I64" s="505"/>
      <c r="J64" s="505"/>
      <c r="K64" s="505"/>
      <c r="L64" s="505"/>
      <c r="M64" s="506"/>
      <c r="N64" s="277" t="s">
        <v>112</v>
      </c>
      <c r="O64" s="271" t="s">
        <v>473</v>
      </c>
      <c r="P64" s="518" t="s">
        <v>474</v>
      </c>
      <c r="Q64" s="519"/>
      <c r="R64" s="518" t="s">
        <v>471</v>
      </c>
      <c r="S64" s="520"/>
      <c r="T64" s="520"/>
      <c r="U64" s="519"/>
      <c r="V64" s="491" t="s">
        <v>472</v>
      </c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273"/>
      <c r="D65" s="273"/>
      <c r="E65" s="274"/>
      <c r="F65" s="504"/>
      <c r="G65" s="505"/>
      <c r="H65" s="505"/>
      <c r="I65" s="505"/>
      <c r="J65" s="505"/>
      <c r="K65" s="505"/>
      <c r="L65" s="505"/>
      <c r="M65" s="506"/>
      <c r="N65" s="277"/>
      <c r="O65" s="271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273"/>
      <c r="D66" s="273"/>
      <c r="E66" s="274"/>
      <c r="F66" s="504"/>
      <c r="G66" s="505"/>
      <c r="H66" s="505"/>
      <c r="I66" s="505"/>
      <c r="J66" s="505"/>
      <c r="K66" s="505"/>
      <c r="L66" s="505"/>
      <c r="M66" s="506"/>
      <c r="N66" s="277"/>
      <c r="O66" s="271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275"/>
      <c r="D67" s="276"/>
      <c r="E67" s="275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475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272" t="s">
        <v>2</v>
      </c>
      <c r="D69" s="272" t="s">
        <v>37</v>
      </c>
      <c r="E69" s="272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272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498</v>
      </c>
      <c r="D70" s="267"/>
      <c r="E70" s="270"/>
      <c r="F70" s="488" t="s">
        <v>497</v>
      </c>
      <c r="G70" s="478"/>
      <c r="H70" s="478"/>
      <c r="I70" s="478"/>
      <c r="J70" s="478"/>
      <c r="K70" s="478" t="s">
        <v>499</v>
      </c>
      <c r="L70" s="478"/>
      <c r="M70" s="51" t="s">
        <v>500</v>
      </c>
      <c r="N70" s="489" t="s">
        <v>501</v>
      </c>
      <c r="O70" s="489"/>
      <c r="P70" s="490"/>
      <c r="Q70" s="490"/>
      <c r="R70" s="491" t="s">
        <v>502</v>
      </c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507</v>
      </c>
      <c r="D71" s="267"/>
      <c r="E71" s="270" t="s">
        <v>508</v>
      </c>
      <c r="F71" s="492" t="s">
        <v>506</v>
      </c>
      <c r="G71" s="493"/>
      <c r="H71" s="493"/>
      <c r="I71" s="493"/>
      <c r="J71" s="494"/>
      <c r="K71" s="478" t="s">
        <v>509</v>
      </c>
      <c r="L71" s="478"/>
      <c r="M71" s="51" t="s">
        <v>510</v>
      </c>
      <c r="N71" s="489" t="s">
        <v>511</v>
      </c>
      <c r="O71" s="489"/>
      <c r="P71" s="490">
        <v>100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 t="s">
        <v>507</v>
      </c>
      <c r="D72" s="267"/>
      <c r="E72" s="270" t="s">
        <v>513</v>
      </c>
      <c r="F72" s="492" t="s">
        <v>512</v>
      </c>
      <c r="G72" s="493"/>
      <c r="H72" s="493"/>
      <c r="I72" s="493"/>
      <c r="J72" s="494"/>
      <c r="K72" s="478" t="s">
        <v>514</v>
      </c>
      <c r="L72" s="478"/>
      <c r="M72" s="51" t="s">
        <v>515</v>
      </c>
      <c r="N72" s="489" t="s">
        <v>516</v>
      </c>
      <c r="O72" s="489"/>
      <c r="P72" s="490">
        <v>100</v>
      </c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267"/>
      <c r="E73" s="270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267"/>
      <c r="E74" s="270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267"/>
      <c r="E75" s="270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267"/>
      <c r="E76" s="270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267"/>
      <c r="E77" s="270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267"/>
      <c r="E78" s="270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267"/>
      <c r="E79" s="270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476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269" t="s">
        <v>2</v>
      </c>
      <c r="D81" s="269" t="s">
        <v>37</v>
      </c>
      <c r="E81" s="269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268"/>
      <c r="D82" s="268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267"/>
      <c r="D83" s="267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267"/>
      <c r="D84" s="267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267"/>
      <c r="D85" s="267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267"/>
      <c r="D86" s="267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267"/>
      <c r="D87" s="267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267"/>
      <c r="D88" s="267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477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>
        <v>9</v>
      </c>
      <c r="D91" s="454"/>
      <c r="E91" s="454" t="s">
        <v>124</v>
      </c>
      <c r="F91" s="454"/>
      <c r="G91" s="454"/>
      <c r="H91" s="454"/>
      <c r="I91" s="454"/>
      <c r="J91" s="454"/>
      <c r="K91" s="454" t="s">
        <v>129</v>
      </c>
      <c r="L91" s="454"/>
      <c r="M91" s="454"/>
      <c r="N91" s="454"/>
      <c r="O91" s="454"/>
      <c r="P91" s="454"/>
      <c r="Q91" s="454"/>
      <c r="R91" s="454"/>
      <c r="S91" s="454"/>
      <c r="T91" s="454" t="s">
        <v>125</v>
      </c>
      <c r="U91" s="454"/>
      <c r="V91" s="455">
        <v>1900000</v>
      </c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E291-A2BB-4B13-A315-8069B2083B93}">
  <sheetPr>
    <pageSetUpPr fitToPage="1"/>
  </sheetPr>
  <dimension ref="A1:AF93"/>
  <sheetViews>
    <sheetView view="pageBreakPreview" zoomScale="70" zoomScaleNormal="72" zoomScaleSheetLayoutView="70" workbookViewId="0">
      <selection activeCell="K85" sqref="K85:S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478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280" t="s">
        <v>17</v>
      </c>
      <c r="L5" s="280" t="s">
        <v>18</v>
      </c>
      <c r="M5" s="280" t="s">
        <v>19</v>
      </c>
      <c r="N5" s="28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209</v>
      </c>
      <c r="E6" s="53" t="s">
        <v>459</v>
      </c>
      <c r="F6" s="30" t="s">
        <v>479</v>
      </c>
      <c r="G6" s="12">
        <v>1</v>
      </c>
      <c r="H6" s="13">
        <v>24</v>
      </c>
      <c r="I6" s="31">
        <v>2000</v>
      </c>
      <c r="J6" s="14">
        <v>3114</v>
      </c>
      <c r="K6" s="15">
        <f>L6</f>
        <v>3114</v>
      </c>
      <c r="L6" s="15">
        <f>1989+1125</f>
        <v>3114</v>
      </c>
      <c r="M6" s="15">
        <f t="shared" ref="M6:M27" si="0">L6-N6</f>
        <v>3114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20</v>
      </c>
      <c r="Q6" s="40">
        <f t="shared" ref="Q6:Q27" si="3">SUM(R6:AA6)</f>
        <v>4</v>
      </c>
      <c r="R6" s="7"/>
      <c r="S6" s="6"/>
      <c r="T6" s="16"/>
      <c r="U6" s="16"/>
      <c r="V6" s="17"/>
      <c r="W6" s="5">
        <v>4</v>
      </c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0.83333333333333337</v>
      </c>
      <c r="AD6" s="10">
        <f t="shared" ref="AD6:AD27" si="6">AC6*AB6*(1-O6)</f>
        <v>0.83333333333333337</v>
      </c>
      <c r="AE6" s="36">
        <f t="shared" ref="AE6:AE27" si="7">$AD$28</f>
        <v>0.41287878787878785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9936</v>
      </c>
      <c r="K7" s="15">
        <f>L7+4540+5413+4776+3810+3773+2780+4786+5910+5528+3614+7707+9828+3822+6888+11032+9113+10064+12756+9446+2965+8390+12796+12772+12708+12736+7762+10491</f>
        <v>216142</v>
      </c>
      <c r="L7" s="15">
        <f>3112*2+1856*2</f>
        <v>9936</v>
      </c>
      <c r="M7" s="15">
        <f t="shared" si="0"/>
        <v>9936</v>
      </c>
      <c r="N7" s="15">
        <v>0</v>
      </c>
      <c r="O7" s="58">
        <f t="shared" si="1"/>
        <v>0</v>
      </c>
      <c r="P7" s="39">
        <f t="shared" si="2"/>
        <v>22</v>
      </c>
      <c r="Q7" s="40">
        <f t="shared" si="3"/>
        <v>2</v>
      </c>
      <c r="R7" s="7"/>
      <c r="S7" s="6">
        <v>2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0.91666666666666663</v>
      </c>
      <c r="AD7" s="10">
        <f t="shared" si="6"/>
        <v>0.91666666666666663</v>
      </c>
      <c r="AE7" s="36">
        <f t="shared" si="7"/>
        <v>0.41287878787878785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126000</v>
      </c>
      <c r="J8" s="14">
        <v>11704</v>
      </c>
      <c r="K8" s="15">
        <f>L8+1708+5184+11810+11756+5148+11086+11698+11644+7968+11268+11096+11214</f>
        <v>123284</v>
      </c>
      <c r="L8" s="15">
        <f>2960*2+2892*2</f>
        <v>11704</v>
      </c>
      <c r="M8" s="15">
        <f t="shared" si="0"/>
        <v>11704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0.41287878787878785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137</v>
      </c>
      <c r="E9" s="53" t="s">
        <v>460</v>
      </c>
      <c r="F9" s="30" t="s">
        <v>480</v>
      </c>
      <c r="G9" s="12">
        <v>1</v>
      </c>
      <c r="H9" s="13">
        <v>24</v>
      </c>
      <c r="I9" s="7">
        <v>8000</v>
      </c>
      <c r="J9" s="14">
        <v>2971</v>
      </c>
      <c r="K9" s="15">
        <f>L9</f>
        <v>2971</v>
      </c>
      <c r="L9" s="15">
        <f>594+2377</f>
        <v>2971</v>
      </c>
      <c r="M9" s="15">
        <f t="shared" si="0"/>
        <v>2971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0.41287878787878785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126000</v>
      </c>
      <c r="J10" s="14">
        <v>11538</v>
      </c>
      <c r="K10" s="15">
        <f>L10+11830+12840+12918+12834+5574+11176+13572+8552+12834+12546+11538</f>
        <v>126214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0.41287878787878785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164</v>
      </c>
      <c r="E11" s="53" t="s">
        <v>362</v>
      </c>
      <c r="F11" s="30" t="s">
        <v>126</v>
      </c>
      <c r="G11" s="33">
        <v>1</v>
      </c>
      <c r="H11" s="35">
        <v>24</v>
      </c>
      <c r="I11" s="7">
        <v>6000</v>
      </c>
      <c r="J11" s="14">
        <v>1050</v>
      </c>
      <c r="K11" s="15">
        <f>L11+5463+1050</f>
        <v>6513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0.41287878787878785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116</v>
      </c>
      <c r="D12" s="52" t="s">
        <v>115</v>
      </c>
      <c r="E12" s="53" t="s">
        <v>383</v>
      </c>
      <c r="F12" s="30" t="s">
        <v>278</v>
      </c>
      <c r="G12" s="12">
        <v>4</v>
      </c>
      <c r="H12" s="13">
        <v>22</v>
      </c>
      <c r="I12" s="31">
        <v>20000</v>
      </c>
      <c r="J12" s="5">
        <v>18572</v>
      </c>
      <c r="K12" s="15">
        <f>L12+18572</f>
        <v>18572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0.41287878787878785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134</v>
      </c>
      <c r="D13" s="52" t="s">
        <v>449</v>
      </c>
      <c r="E13" s="53" t="s">
        <v>450</v>
      </c>
      <c r="F13" s="30" t="s">
        <v>126</v>
      </c>
      <c r="G13" s="33">
        <v>1</v>
      </c>
      <c r="H13" s="35">
        <v>22</v>
      </c>
      <c r="I13" s="7">
        <v>4500</v>
      </c>
      <c r="J13" s="14">
        <v>4671</v>
      </c>
      <c r="K13" s="15">
        <f>L13+3915</f>
        <v>8586</v>
      </c>
      <c r="L13" s="15">
        <f>2342+2329</f>
        <v>4671</v>
      </c>
      <c r="M13" s="15">
        <f t="shared" si="0"/>
        <v>4671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0.41287878787878785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340</v>
      </c>
      <c r="F14" s="30" t="s">
        <v>149</v>
      </c>
      <c r="G14" s="33">
        <v>1</v>
      </c>
      <c r="H14" s="35">
        <v>30</v>
      </c>
      <c r="I14" s="7">
        <v>100</v>
      </c>
      <c r="J14" s="5">
        <v>125</v>
      </c>
      <c r="K14" s="15">
        <f>L14</f>
        <v>125</v>
      </c>
      <c r="L14" s="15">
        <v>125</v>
      </c>
      <c r="M14" s="15">
        <f t="shared" si="0"/>
        <v>125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/>
      <c r="T14" s="16"/>
      <c r="U14" s="16"/>
      <c r="V14" s="17"/>
      <c r="W14" s="5">
        <v>20</v>
      </c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6">
        <f t="shared" si="7"/>
        <v>0.41287878787878785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0.41287878787878785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116</v>
      </c>
      <c r="D16" s="52" t="s">
        <v>121</v>
      </c>
      <c r="E16" s="53" t="s">
        <v>418</v>
      </c>
      <c r="F16" s="30" t="s">
        <v>433</v>
      </c>
      <c r="G16" s="12">
        <v>4</v>
      </c>
      <c r="H16" s="13">
        <v>24</v>
      </c>
      <c r="I16" s="7">
        <v>20000</v>
      </c>
      <c r="J16" s="14">
        <v>11124</v>
      </c>
      <c r="K16" s="15">
        <f>L16+13316+11124</f>
        <v>24440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0.41287878787878785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28200</v>
      </c>
      <c r="K17" s="15">
        <f>L17+26370+39325+19755+18405+40885+18620+38310+41130+40940+28200</f>
        <v>311940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0.41287878787878785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202</v>
      </c>
      <c r="E18" s="53" t="s">
        <v>458</v>
      </c>
      <c r="F18" s="30" t="s">
        <v>149</v>
      </c>
      <c r="G18" s="33">
        <v>1</v>
      </c>
      <c r="H18" s="35">
        <v>24</v>
      </c>
      <c r="I18" s="7">
        <v>2000</v>
      </c>
      <c r="J18" s="14">
        <v>3126</v>
      </c>
      <c r="K18" s="15">
        <f>L18</f>
        <v>3126</v>
      </c>
      <c r="L18" s="15">
        <f>1823+1303</f>
        <v>3126</v>
      </c>
      <c r="M18" s="15">
        <f t="shared" si="0"/>
        <v>3126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/>
      <c r="T18" s="16"/>
      <c r="U18" s="16"/>
      <c r="V18" s="17"/>
      <c r="W18" s="5">
        <v>4</v>
      </c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 t="shared" si="7"/>
        <v>0.41287878787878785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401</v>
      </c>
      <c r="F19" s="30" t="s">
        <v>127</v>
      </c>
      <c r="G19" s="33">
        <v>1</v>
      </c>
      <c r="H19" s="35">
        <v>24</v>
      </c>
      <c r="I19" s="7">
        <v>20000</v>
      </c>
      <c r="J19" s="14">
        <v>2793</v>
      </c>
      <c r="K19" s="15">
        <f>L19+2290+5013+5211</f>
        <v>15307</v>
      </c>
      <c r="L19" s="15">
        <f>2793</f>
        <v>2793</v>
      </c>
      <c r="M19" s="15">
        <f t="shared" si="0"/>
        <v>2793</v>
      </c>
      <c r="N19" s="15">
        <v>0</v>
      </c>
      <c r="O19" s="58">
        <f t="shared" si="1"/>
        <v>0</v>
      </c>
      <c r="P19" s="39">
        <f t="shared" si="2"/>
        <v>14</v>
      </c>
      <c r="Q19" s="40">
        <f t="shared" si="3"/>
        <v>10</v>
      </c>
      <c r="R19" s="7"/>
      <c r="S19" s="6">
        <v>10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0.58333333333333337</v>
      </c>
      <c r="AD19" s="10">
        <f t="shared" si="6"/>
        <v>0.58333333333333337</v>
      </c>
      <c r="AE19" s="36">
        <f t="shared" si="7"/>
        <v>0.41287878787878785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133</v>
      </c>
      <c r="E20" s="53" t="s">
        <v>221</v>
      </c>
      <c r="F20" s="30" t="s">
        <v>127</v>
      </c>
      <c r="G20" s="12">
        <v>3</v>
      </c>
      <c r="H20" s="13">
        <v>24</v>
      </c>
      <c r="I20" s="7">
        <v>150000</v>
      </c>
      <c r="J20" s="14">
        <v>18423</v>
      </c>
      <c r="K20" s="15">
        <f>L20+20020+14558+6956+4260+13958+8440+18763+11805+15424+13830+18372</f>
        <v>164809</v>
      </c>
      <c r="L20" s="15">
        <f>3097*3+3044*3</f>
        <v>18423</v>
      </c>
      <c r="M20" s="15">
        <f t="shared" si="0"/>
        <v>18423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0.41287878787878785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59956</v>
      </c>
      <c r="K21" s="15">
        <f>L21+50740+61508+62116+62068+58848+54656+61696+61724+33064+28160+54396+62000+61828+61480</f>
        <v>834240</v>
      </c>
      <c r="L21" s="15">
        <f>7888*4+7101*4</f>
        <v>59956</v>
      </c>
      <c r="M21" s="15">
        <f t="shared" si="0"/>
        <v>59956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0.41287878787878785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0.41287878787878785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0.41287878787878785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0.41287878787878785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0.41287878787878785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0.41287878787878785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542400</v>
      </c>
      <c r="K27" s="15">
        <f>L27+396032+523136+552288+502656+539840</f>
        <v>3056352</v>
      </c>
      <c r="L27" s="15">
        <f>9916*32+7034*32</f>
        <v>542400</v>
      </c>
      <c r="M27" s="15">
        <f t="shared" si="0"/>
        <v>542400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20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6"/>
        <v>1</v>
      </c>
      <c r="AE27" s="36">
        <f t="shared" si="7"/>
        <v>0.41287878787878785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4536600</v>
      </c>
      <c r="J28" s="19">
        <f t="shared" si="9"/>
        <v>780835</v>
      </c>
      <c r="K28" s="20">
        <f t="shared" si="9"/>
        <v>5661111</v>
      </c>
      <c r="L28" s="21">
        <f t="shared" si="9"/>
        <v>659219</v>
      </c>
      <c r="M28" s="20">
        <f t="shared" si="9"/>
        <v>659219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218</v>
      </c>
      <c r="Q28" s="43">
        <f t="shared" si="10"/>
        <v>310</v>
      </c>
      <c r="R28" s="23">
        <f t="shared" si="10"/>
        <v>0</v>
      </c>
      <c r="S28" s="24">
        <f t="shared" si="10"/>
        <v>18</v>
      </c>
      <c r="T28" s="24">
        <f t="shared" si="10"/>
        <v>0</v>
      </c>
      <c r="U28" s="24">
        <f t="shared" si="10"/>
        <v>0</v>
      </c>
      <c r="V28" s="25">
        <f t="shared" si="10"/>
        <v>0</v>
      </c>
      <c r="W28" s="26">
        <f t="shared" si="10"/>
        <v>292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0.55000000000000004</v>
      </c>
      <c r="AC28" s="4">
        <f>AVERAGE(AC6:AC27)</f>
        <v>0.41287878787878785</v>
      </c>
      <c r="AD28" s="4">
        <f>AVERAGE(AD6:AD27)</f>
        <v>0.41287878787878785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481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490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281" t="s">
        <v>46</v>
      </c>
      <c r="D57" s="281" t="s">
        <v>47</v>
      </c>
      <c r="E57" s="281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281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283" t="s">
        <v>186</v>
      </c>
      <c r="D58" s="283" t="s">
        <v>209</v>
      </c>
      <c r="E58" s="283" t="s">
        <v>459</v>
      </c>
      <c r="F58" s="504" t="s">
        <v>123</v>
      </c>
      <c r="G58" s="505"/>
      <c r="H58" s="505"/>
      <c r="I58" s="505"/>
      <c r="J58" s="505"/>
      <c r="K58" s="505"/>
      <c r="L58" s="505"/>
      <c r="M58" s="506"/>
      <c r="N58" s="282" t="s">
        <v>112</v>
      </c>
      <c r="O58" s="289" t="s">
        <v>456</v>
      </c>
      <c r="P58" s="518" t="s">
        <v>115</v>
      </c>
      <c r="Q58" s="519"/>
      <c r="R58" s="518" t="s">
        <v>491</v>
      </c>
      <c r="S58" s="520"/>
      <c r="T58" s="520"/>
      <c r="U58" s="519"/>
      <c r="V58" s="504" t="s">
        <v>123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134</v>
      </c>
      <c r="B59" s="507"/>
      <c r="C59" s="283" t="s">
        <v>156</v>
      </c>
      <c r="D59" s="283" t="s">
        <v>137</v>
      </c>
      <c r="E59" s="283" t="s">
        <v>160</v>
      </c>
      <c r="F59" s="504" t="s">
        <v>217</v>
      </c>
      <c r="G59" s="505"/>
      <c r="H59" s="505"/>
      <c r="I59" s="505"/>
      <c r="J59" s="505"/>
      <c r="K59" s="505"/>
      <c r="L59" s="505"/>
      <c r="M59" s="506"/>
      <c r="N59" s="282" t="s">
        <v>112</v>
      </c>
      <c r="O59" s="289" t="s">
        <v>186</v>
      </c>
      <c r="P59" s="518" t="s">
        <v>225</v>
      </c>
      <c r="Q59" s="519"/>
      <c r="R59" s="518" t="s">
        <v>492</v>
      </c>
      <c r="S59" s="520"/>
      <c r="T59" s="520"/>
      <c r="U59" s="519"/>
      <c r="V59" s="504" t="s">
        <v>123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283" t="s">
        <v>148</v>
      </c>
      <c r="D60" s="283" t="s">
        <v>202</v>
      </c>
      <c r="E60" s="283" t="s">
        <v>458</v>
      </c>
      <c r="F60" s="504" t="s">
        <v>123</v>
      </c>
      <c r="G60" s="505"/>
      <c r="H60" s="505"/>
      <c r="I60" s="505"/>
      <c r="J60" s="505"/>
      <c r="K60" s="505"/>
      <c r="L60" s="505"/>
      <c r="M60" s="506"/>
      <c r="N60" s="303" t="s">
        <v>112</v>
      </c>
      <c r="O60" s="297" t="s">
        <v>201</v>
      </c>
      <c r="P60" s="518" t="s">
        <v>164</v>
      </c>
      <c r="Q60" s="519"/>
      <c r="R60" s="518" t="s">
        <v>442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112</v>
      </c>
      <c r="B61" s="507"/>
      <c r="C61" s="283" t="s">
        <v>190</v>
      </c>
      <c r="D61" s="283" t="s">
        <v>133</v>
      </c>
      <c r="E61" s="283" t="s">
        <v>401</v>
      </c>
      <c r="F61" s="504" t="s">
        <v>285</v>
      </c>
      <c r="G61" s="505"/>
      <c r="H61" s="505"/>
      <c r="I61" s="505"/>
      <c r="J61" s="505"/>
      <c r="K61" s="505"/>
      <c r="L61" s="505"/>
      <c r="M61" s="506"/>
      <c r="N61" s="282" t="s">
        <v>493</v>
      </c>
      <c r="O61" s="289" t="s">
        <v>494</v>
      </c>
      <c r="P61" s="518" t="s">
        <v>115</v>
      </c>
      <c r="Q61" s="519"/>
      <c r="R61" s="518" t="s">
        <v>495</v>
      </c>
      <c r="S61" s="520"/>
      <c r="T61" s="520"/>
      <c r="U61" s="519"/>
      <c r="V61" s="504" t="s">
        <v>123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482</v>
      </c>
      <c r="B62" s="507"/>
      <c r="C62" s="283" t="s">
        <v>483</v>
      </c>
      <c r="D62" s="283" t="s">
        <v>137</v>
      </c>
      <c r="E62" s="283" t="s">
        <v>484</v>
      </c>
      <c r="F62" s="504" t="s">
        <v>485</v>
      </c>
      <c r="G62" s="505"/>
      <c r="H62" s="505"/>
      <c r="I62" s="505"/>
      <c r="J62" s="505"/>
      <c r="K62" s="505"/>
      <c r="L62" s="505"/>
      <c r="M62" s="506"/>
      <c r="N62" s="282"/>
      <c r="O62" s="289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 t="s">
        <v>486</v>
      </c>
      <c r="B63" s="507"/>
      <c r="C63" s="283" t="s">
        <v>487</v>
      </c>
      <c r="D63" s="283" t="s">
        <v>488</v>
      </c>
      <c r="E63" s="283" t="s">
        <v>489</v>
      </c>
      <c r="F63" s="504" t="s">
        <v>123</v>
      </c>
      <c r="G63" s="505"/>
      <c r="H63" s="505"/>
      <c r="I63" s="505"/>
      <c r="J63" s="505"/>
      <c r="K63" s="505"/>
      <c r="L63" s="505"/>
      <c r="M63" s="506"/>
      <c r="N63" s="282"/>
      <c r="O63" s="289"/>
      <c r="P63" s="518"/>
      <c r="Q63" s="519"/>
      <c r="R63" s="518"/>
      <c r="S63" s="520"/>
      <c r="T63" s="520"/>
      <c r="U63" s="519"/>
      <c r="V63" s="504"/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/>
      <c r="B64" s="507"/>
      <c r="C64" s="283"/>
      <c r="D64" s="283"/>
      <c r="E64" s="283"/>
      <c r="F64" s="504"/>
      <c r="G64" s="505"/>
      <c r="H64" s="505"/>
      <c r="I64" s="505"/>
      <c r="J64" s="505"/>
      <c r="K64" s="505"/>
      <c r="L64" s="505"/>
      <c r="M64" s="506"/>
      <c r="N64" s="282"/>
      <c r="O64" s="289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286"/>
      <c r="D65" s="286"/>
      <c r="E65" s="283"/>
      <c r="F65" s="504"/>
      <c r="G65" s="505"/>
      <c r="H65" s="505"/>
      <c r="I65" s="505"/>
      <c r="J65" s="505"/>
      <c r="K65" s="505"/>
      <c r="L65" s="505"/>
      <c r="M65" s="506"/>
      <c r="N65" s="282"/>
      <c r="O65" s="289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286"/>
      <c r="D66" s="286"/>
      <c r="E66" s="283"/>
      <c r="F66" s="504"/>
      <c r="G66" s="505"/>
      <c r="H66" s="505"/>
      <c r="I66" s="505"/>
      <c r="J66" s="505"/>
      <c r="K66" s="505"/>
      <c r="L66" s="505"/>
      <c r="M66" s="506"/>
      <c r="N66" s="282"/>
      <c r="O66" s="289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284"/>
      <c r="D67" s="285"/>
      <c r="E67" s="284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496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287" t="s">
        <v>2</v>
      </c>
      <c r="D69" s="287" t="s">
        <v>37</v>
      </c>
      <c r="E69" s="287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287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498</v>
      </c>
      <c r="D70" s="293"/>
      <c r="E70" s="296"/>
      <c r="F70" s="488" t="s">
        <v>497</v>
      </c>
      <c r="G70" s="478"/>
      <c r="H70" s="478"/>
      <c r="I70" s="478"/>
      <c r="J70" s="478"/>
      <c r="K70" s="478" t="s">
        <v>503</v>
      </c>
      <c r="L70" s="478"/>
      <c r="M70" s="51" t="s">
        <v>500</v>
      </c>
      <c r="N70" s="489" t="s">
        <v>504</v>
      </c>
      <c r="O70" s="489"/>
      <c r="P70" s="490">
        <v>100</v>
      </c>
      <c r="Q70" s="490"/>
      <c r="R70" s="491" t="s">
        <v>505</v>
      </c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517</v>
      </c>
      <c r="D71" s="291"/>
      <c r="E71" s="288" t="s">
        <v>518</v>
      </c>
      <c r="F71" s="492" t="s">
        <v>519</v>
      </c>
      <c r="G71" s="493"/>
      <c r="H71" s="493"/>
      <c r="I71" s="493"/>
      <c r="J71" s="494"/>
      <c r="K71" s="478">
        <v>8301</v>
      </c>
      <c r="L71" s="478"/>
      <c r="M71" s="51" t="s">
        <v>520</v>
      </c>
      <c r="N71" s="489" t="s">
        <v>521</v>
      </c>
      <c r="O71" s="489"/>
      <c r="P71" s="490">
        <v>100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/>
      <c r="D72" s="291"/>
      <c r="E72" s="288"/>
      <c r="F72" s="492"/>
      <c r="G72" s="493"/>
      <c r="H72" s="493"/>
      <c r="I72" s="493"/>
      <c r="J72" s="494"/>
      <c r="K72" s="478"/>
      <c r="L72" s="478"/>
      <c r="M72" s="51"/>
      <c r="N72" s="489"/>
      <c r="O72" s="489"/>
      <c r="P72" s="490"/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291"/>
      <c r="E73" s="288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291"/>
      <c r="E74" s="288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291"/>
      <c r="E75" s="288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291"/>
      <c r="E76" s="288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291"/>
      <c r="E77" s="288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291"/>
      <c r="E78" s="288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291"/>
      <c r="E79" s="288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522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290" t="s">
        <v>2</v>
      </c>
      <c r="D81" s="290" t="s">
        <v>37</v>
      </c>
      <c r="E81" s="290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292"/>
      <c r="D82" s="292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291"/>
      <c r="D83" s="291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291"/>
      <c r="D84" s="291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291"/>
      <c r="D85" s="291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291"/>
      <c r="D86" s="291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291"/>
      <c r="D87" s="291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291"/>
      <c r="D88" s="291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523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>
        <v>9</v>
      </c>
      <c r="D91" s="454"/>
      <c r="E91" s="454" t="s">
        <v>124</v>
      </c>
      <c r="F91" s="454"/>
      <c r="G91" s="454"/>
      <c r="H91" s="454"/>
      <c r="I91" s="454"/>
      <c r="J91" s="454"/>
      <c r="K91" s="454" t="s">
        <v>129</v>
      </c>
      <c r="L91" s="454"/>
      <c r="M91" s="454"/>
      <c r="N91" s="454"/>
      <c r="O91" s="454"/>
      <c r="P91" s="454"/>
      <c r="Q91" s="454"/>
      <c r="R91" s="454"/>
      <c r="S91" s="454"/>
      <c r="T91" s="454" t="s">
        <v>125</v>
      </c>
      <c r="U91" s="454"/>
      <c r="V91" s="455">
        <v>1900000</v>
      </c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35F8-EFAD-4ABF-92D0-DA64D0AC0E1F}">
  <sheetPr>
    <pageSetUpPr fitToPage="1"/>
  </sheetPr>
  <dimension ref="A1:AF93"/>
  <sheetViews>
    <sheetView view="pageBreakPreview" zoomScale="70" zoomScaleNormal="72" zoomScaleSheetLayoutView="70" workbookViewId="0">
      <selection activeCell="K83" sqref="K83:S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524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305" t="s">
        <v>17</v>
      </c>
      <c r="L5" s="305" t="s">
        <v>18</v>
      </c>
      <c r="M5" s="305" t="s">
        <v>19</v>
      </c>
      <c r="N5" s="30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209</v>
      </c>
      <c r="E6" s="53" t="s">
        <v>492</v>
      </c>
      <c r="F6" s="30" t="s">
        <v>479</v>
      </c>
      <c r="G6" s="12">
        <v>1</v>
      </c>
      <c r="H6" s="13">
        <v>24</v>
      </c>
      <c r="I6" s="31">
        <v>500</v>
      </c>
      <c r="J6" s="14">
        <v>637</v>
      </c>
      <c r="K6" s="15">
        <f>L6</f>
        <v>637</v>
      </c>
      <c r="L6" s="15">
        <f>637</f>
        <v>637</v>
      </c>
      <c r="M6" s="15">
        <f t="shared" ref="M6:M27" si="0">L6-N6</f>
        <v>637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5</v>
      </c>
      <c r="Q6" s="40">
        <f t="shared" ref="Q6:Q27" si="3">SUM(R6:AA6)</f>
        <v>19</v>
      </c>
      <c r="R6" s="7"/>
      <c r="S6" s="6"/>
      <c r="T6" s="16"/>
      <c r="U6" s="16"/>
      <c r="V6" s="17"/>
      <c r="W6" s="5">
        <v>19</v>
      </c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0.20833333333333334</v>
      </c>
      <c r="AD6" s="10">
        <f t="shared" ref="AD6:AD27" si="6">AC6*AB6*(1-O6)</f>
        <v>0.20833333333333334</v>
      </c>
      <c r="AE6" s="36">
        <f t="shared" ref="AE6:AE27" si="7">$AD$28</f>
        <v>0.40340909090909088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5780</v>
      </c>
      <c r="K7" s="15">
        <f>L7+4540+5413+4776+3810+3773+2780+4786+5910+5528+3614+7707+9828+3822+6888+11032+9113+10064+12756+9446+2965+8390+12796+12772+12708+12736+7762+10491+9936</f>
        <v>221922</v>
      </c>
      <c r="L7" s="15">
        <f>2890*2</f>
        <v>5780</v>
      </c>
      <c r="M7" s="15">
        <f t="shared" si="0"/>
        <v>5780</v>
      </c>
      <c r="N7" s="15">
        <v>0</v>
      </c>
      <c r="O7" s="58">
        <f t="shared" si="1"/>
        <v>0</v>
      </c>
      <c r="P7" s="39">
        <f t="shared" si="2"/>
        <v>12</v>
      </c>
      <c r="Q7" s="40">
        <f t="shared" si="3"/>
        <v>12</v>
      </c>
      <c r="R7" s="7"/>
      <c r="S7" s="6"/>
      <c r="T7" s="16"/>
      <c r="U7" s="16"/>
      <c r="V7" s="17"/>
      <c r="W7" s="5">
        <v>12</v>
      </c>
      <c r="X7" s="16"/>
      <c r="Y7" s="16"/>
      <c r="Z7" s="16"/>
      <c r="AA7" s="18"/>
      <c r="AB7" s="8">
        <f t="shared" si="4"/>
        <v>1</v>
      </c>
      <c r="AC7" s="9">
        <f t="shared" si="5"/>
        <v>0.5</v>
      </c>
      <c r="AD7" s="10">
        <f t="shared" si="6"/>
        <v>0.5</v>
      </c>
      <c r="AE7" s="36">
        <f t="shared" si="7"/>
        <v>0.40340909090909088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126000</v>
      </c>
      <c r="J8" s="14">
        <v>11584</v>
      </c>
      <c r="K8" s="15">
        <f>L8+1708+5184+11810+11756+5148+11086+11698+11644+7968+11268+11096+11214+11704</f>
        <v>134868</v>
      </c>
      <c r="L8" s="15">
        <f>2819*2+2973*2</f>
        <v>11584</v>
      </c>
      <c r="M8" s="15">
        <f t="shared" si="0"/>
        <v>11584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0.40340909090909088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137</v>
      </c>
      <c r="E9" s="53" t="s">
        <v>460</v>
      </c>
      <c r="F9" s="30" t="s">
        <v>480</v>
      </c>
      <c r="G9" s="12">
        <v>1</v>
      </c>
      <c r="H9" s="13">
        <v>24</v>
      </c>
      <c r="I9" s="7">
        <v>8000</v>
      </c>
      <c r="J9" s="14">
        <v>5225</v>
      </c>
      <c r="K9" s="15">
        <f>L9+2971</f>
        <v>8196</v>
      </c>
      <c r="L9" s="15">
        <f>2770+2455</f>
        <v>5225</v>
      </c>
      <c r="M9" s="15">
        <f t="shared" si="0"/>
        <v>5225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0.40340909090909088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126000</v>
      </c>
      <c r="J10" s="14">
        <v>11538</v>
      </c>
      <c r="K10" s="15">
        <f>L10+11830+12840+12918+12834+5574+11176+13572+8552+12834+12546+11538</f>
        <v>126214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0.40340909090909088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164</v>
      </c>
      <c r="E11" s="53" t="s">
        <v>442</v>
      </c>
      <c r="F11" s="30" t="s">
        <v>126</v>
      </c>
      <c r="G11" s="33">
        <v>1</v>
      </c>
      <c r="H11" s="35">
        <v>24</v>
      </c>
      <c r="I11" s="7">
        <v>5000</v>
      </c>
      <c r="J11" s="14">
        <v>3813</v>
      </c>
      <c r="K11" s="15">
        <f>L11</f>
        <v>3813</v>
      </c>
      <c r="L11" s="15">
        <f>730+3083</f>
        <v>3813</v>
      </c>
      <c r="M11" s="15">
        <f t="shared" si="0"/>
        <v>3813</v>
      </c>
      <c r="N11" s="15">
        <v>0</v>
      </c>
      <c r="O11" s="58">
        <f t="shared" si="1"/>
        <v>0</v>
      </c>
      <c r="P11" s="39">
        <f t="shared" si="2"/>
        <v>15</v>
      </c>
      <c r="Q11" s="40">
        <f t="shared" si="3"/>
        <v>9</v>
      </c>
      <c r="R11" s="7"/>
      <c r="S11" s="6">
        <v>9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0.625</v>
      </c>
      <c r="AD11" s="10">
        <f t="shared" si="6"/>
        <v>0.625</v>
      </c>
      <c r="AE11" s="36">
        <f t="shared" si="7"/>
        <v>0.40340909090909088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134</v>
      </c>
      <c r="D12" s="52" t="s">
        <v>115</v>
      </c>
      <c r="E12" s="53" t="s">
        <v>495</v>
      </c>
      <c r="F12" s="30" t="s">
        <v>135</v>
      </c>
      <c r="G12" s="12">
        <v>2</v>
      </c>
      <c r="H12" s="13">
        <v>22</v>
      </c>
      <c r="I12" s="31">
        <v>10000</v>
      </c>
      <c r="J12" s="5">
        <v>5282</v>
      </c>
      <c r="K12" s="15">
        <f>L12</f>
        <v>5282</v>
      </c>
      <c r="L12" s="15">
        <f>2641*2</f>
        <v>5282</v>
      </c>
      <c r="M12" s="15">
        <f t="shared" si="0"/>
        <v>5282</v>
      </c>
      <c r="N12" s="15">
        <v>0</v>
      </c>
      <c r="O12" s="58">
        <f t="shared" si="1"/>
        <v>0</v>
      </c>
      <c r="P12" s="39">
        <f t="shared" si="2"/>
        <v>13</v>
      </c>
      <c r="Q12" s="40">
        <f t="shared" si="3"/>
        <v>11</v>
      </c>
      <c r="R12" s="7"/>
      <c r="S12" s="6">
        <v>11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0.54166666666666663</v>
      </c>
      <c r="AD12" s="10">
        <f t="shared" si="6"/>
        <v>0.54166666666666663</v>
      </c>
      <c r="AE12" s="36">
        <f t="shared" si="7"/>
        <v>0.40340909090909088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134</v>
      </c>
      <c r="D13" s="52" t="s">
        <v>525</v>
      </c>
      <c r="E13" s="53" t="s">
        <v>526</v>
      </c>
      <c r="F13" s="30" t="s">
        <v>126</v>
      </c>
      <c r="G13" s="33">
        <v>1</v>
      </c>
      <c r="H13" s="35">
        <v>22</v>
      </c>
      <c r="I13" s="7">
        <v>4500</v>
      </c>
      <c r="J13" s="14">
        <v>3420</v>
      </c>
      <c r="K13" s="15">
        <f>L13</f>
        <v>3420</v>
      </c>
      <c r="L13" s="15">
        <f>1028+2392</f>
        <v>3420</v>
      </c>
      <c r="M13" s="15">
        <f t="shared" si="0"/>
        <v>3420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6">
        <f t="shared" si="7"/>
        <v>0.40340909090909088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340</v>
      </c>
      <c r="F14" s="30" t="s">
        <v>149</v>
      </c>
      <c r="G14" s="33">
        <v>1</v>
      </c>
      <c r="H14" s="35">
        <v>30</v>
      </c>
      <c r="I14" s="7">
        <v>100</v>
      </c>
      <c r="J14" s="5">
        <v>125</v>
      </c>
      <c r="K14" s="15">
        <f>L14+125</f>
        <v>125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0.40340909090909088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0.40340909090909088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116</v>
      </c>
      <c r="D16" s="52" t="s">
        <v>121</v>
      </c>
      <c r="E16" s="53" t="s">
        <v>418</v>
      </c>
      <c r="F16" s="30" t="s">
        <v>433</v>
      </c>
      <c r="G16" s="12">
        <v>4</v>
      </c>
      <c r="H16" s="13">
        <v>24</v>
      </c>
      <c r="I16" s="7">
        <v>20000</v>
      </c>
      <c r="J16" s="14">
        <v>11124</v>
      </c>
      <c r="K16" s="15">
        <f>L16+13316+11124</f>
        <v>24440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0.40340909090909088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28200</v>
      </c>
      <c r="K17" s="15">
        <f>L17+26370+39325+19755+18405+40885+18620+38310+41130+40940+28200</f>
        <v>311940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0.40340909090909088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527</v>
      </c>
      <c r="F18" s="30" t="s">
        <v>127</v>
      </c>
      <c r="G18" s="33">
        <v>1</v>
      </c>
      <c r="H18" s="35">
        <v>24</v>
      </c>
      <c r="I18" s="7">
        <v>2000</v>
      </c>
      <c r="J18" s="14">
        <v>1040</v>
      </c>
      <c r="K18" s="15">
        <f>L18</f>
        <v>1040</v>
      </c>
      <c r="L18" s="15">
        <f>405+635</f>
        <v>1040</v>
      </c>
      <c r="M18" s="15">
        <f t="shared" si="0"/>
        <v>1040</v>
      </c>
      <c r="N18" s="15">
        <v>0</v>
      </c>
      <c r="O18" s="58">
        <f t="shared" si="1"/>
        <v>0</v>
      </c>
      <c r="P18" s="39">
        <f t="shared" si="2"/>
        <v>13</v>
      </c>
      <c r="Q18" s="40">
        <f t="shared" si="3"/>
        <v>11</v>
      </c>
      <c r="R18" s="7"/>
      <c r="S18" s="6">
        <v>11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0.54166666666666663</v>
      </c>
      <c r="AD18" s="10">
        <f t="shared" si="6"/>
        <v>0.54166666666666663</v>
      </c>
      <c r="AE18" s="36">
        <f t="shared" si="7"/>
        <v>0.40340909090909088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401</v>
      </c>
      <c r="F19" s="30" t="s">
        <v>127</v>
      </c>
      <c r="G19" s="33">
        <v>1</v>
      </c>
      <c r="H19" s="35">
        <v>24</v>
      </c>
      <c r="I19" s="7">
        <v>20000</v>
      </c>
      <c r="J19" s="14">
        <v>5059</v>
      </c>
      <c r="K19" s="15">
        <f>L19+2290+5013+5211+2793</f>
        <v>20366</v>
      </c>
      <c r="L19" s="15">
        <f>2320+2739</f>
        <v>5059</v>
      </c>
      <c r="M19" s="15">
        <f t="shared" si="0"/>
        <v>5059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0.40340909090909088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133</v>
      </c>
      <c r="E20" s="53" t="s">
        <v>221</v>
      </c>
      <c r="F20" s="30" t="s">
        <v>127</v>
      </c>
      <c r="G20" s="12">
        <v>3</v>
      </c>
      <c r="H20" s="13">
        <v>24</v>
      </c>
      <c r="I20" s="7">
        <v>150000</v>
      </c>
      <c r="J20" s="14">
        <v>10182</v>
      </c>
      <c r="K20" s="15">
        <f>L20+20020+14558+6956+4260+13958+8440+18763+11805+15424+13830+18372+18423</f>
        <v>174991</v>
      </c>
      <c r="L20" s="15">
        <f>2981*3+413*3</f>
        <v>10182</v>
      </c>
      <c r="M20" s="15">
        <f t="shared" si="0"/>
        <v>10182</v>
      </c>
      <c r="N20" s="15">
        <v>0</v>
      </c>
      <c r="O20" s="58">
        <f t="shared" si="1"/>
        <v>0</v>
      </c>
      <c r="P20" s="39">
        <f t="shared" si="2"/>
        <v>14</v>
      </c>
      <c r="Q20" s="40">
        <f t="shared" si="3"/>
        <v>10</v>
      </c>
      <c r="R20" s="7"/>
      <c r="S20" s="6"/>
      <c r="T20" s="16"/>
      <c r="U20" s="16"/>
      <c r="V20" s="17"/>
      <c r="W20" s="5">
        <v>10</v>
      </c>
      <c r="X20" s="16"/>
      <c r="Y20" s="16"/>
      <c r="Z20" s="16"/>
      <c r="AA20" s="18"/>
      <c r="AB20" s="8">
        <f t="shared" si="4"/>
        <v>1</v>
      </c>
      <c r="AC20" s="9">
        <f t="shared" si="5"/>
        <v>0.58333333333333337</v>
      </c>
      <c r="AD20" s="10">
        <f t="shared" si="6"/>
        <v>0.58333333333333337</v>
      </c>
      <c r="AE20" s="36">
        <f t="shared" si="7"/>
        <v>0.40340909090909088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61580</v>
      </c>
      <c r="K21" s="15">
        <f>L21+50740+61508+62116+62068+58848+54656+61696+61724+33064+28160+54396+62000+61828+61480+59956</f>
        <v>895820</v>
      </c>
      <c r="L21" s="15">
        <f>7526*4+7869*4</f>
        <v>61580</v>
      </c>
      <c r="M21" s="15">
        <f t="shared" si="0"/>
        <v>61580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0.40340909090909088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0.40340909090909088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0.40340909090909088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0.40340909090909088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0.40340909090909088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0.40340909090909088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544128</v>
      </c>
      <c r="K27" s="15">
        <f>L27+396032+523136+552288+502656+539840+542400</f>
        <v>3600480</v>
      </c>
      <c r="L27" s="15">
        <f>10002*32+7002*32</f>
        <v>544128</v>
      </c>
      <c r="M27" s="15">
        <f t="shared" si="0"/>
        <v>544128</v>
      </c>
      <c r="N27" s="15">
        <v>0</v>
      </c>
      <c r="O27" s="58">
        <f t="shared" si="1"/>
        <v>0</v>
      </c>
      <c r="P27" s="39">
        <f t="shared" si="2"/>
        <v>24</v>
      </c>
      <c r="Q27" s="40">
        <f t="shared" si="3"/>
        <v>0</v>
      </c>
      <c r="R27" s="7"/>
      <c r="S27" s="6"/>
      <c r="T27" s="16"/>
      <c r="U27" s="16"/>
      <c r="V27" s="120"/>
      <c r="W27" s="5"/>
      <c r="X27" s="16"/>
      <c r="Y27" s="16"/>
      <c r="Z27" s="16"/>
      <c r="AA27" s="18"/>
      <c r="AB27" s="8">
        <f t="shared" si="4"/>
        <v>1</v>
      </c>
      <c r="AC27" s="9">
        <f t="shared" si="5"/>
        <v>1</v>
      </c>
      <c r="AD27" s="10">
        <f t="shared" si="6"/>
        <v>1</v>
      </c>
      <c r="AE27" s="36">
        <f t="shared" si="7"/>
        <v>0.40340909090909088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4524100</v>
      </c>
      <c r="J28" s="19">
        <f t="shared" si="9"/>
        <v>759849</v>
      </c>
      <c r="K28" s="20">
        <f t="shared" si="9"/>
        <v>6278930</v>
      </c>
      <c r="L28" s="21">
        <f t="shared" si="9"/>
        <v>657730</v>
      </c>
      <c r="M28" s="20">
        <f t="shared" si="9"/>
        <v>657730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213</v>
      </c>
      <c r="Q28" s="43">
        <f t="shared" si="10"/>
        <v>315</v>
      </c>
      <c r="R28" s="23">
        <f t="shared" si="10"/>
        <v>0</v>
      </c>
      <c r="S28" s="24">
        <f t="shared" si="10"/>
        <v>34</v>
      </c>
      <c r="T28" s="24">
        <f t="shared" si="10"/>
        <v>0</v>
      </c>
      <c r="U28" s="24">
        <f t="shared" si="10"/>
        <v>0</v>
      </c>
      <c r="V28" s="25">
        <f t="shared" si="10"/>
        <v>0</v>
      </c>
      <c r="W28" s="26">
        <f t="shared" si="10"/>
        <v>281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0.6</v>
      </c>
      <c r="AC28" s="4">
        <f>AVERAGE(AC6:AC27)</f>
        <v>0.40340909090909088</v>
      </c>
      <c r="AD28" s="4">
        <f>AVERAGE(AD6:AD27)</f>
        <v>0.40340909090909088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528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533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304" t="s">
        <v>46</v>
      </c>
      <c r="D57" s="304" t="s">
        <v>47</v>
      </c>
      <c r="E57" s="304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304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300" t="s">
        <v>186</v>
      </c>
      <c r="D58" s="300" t="s">
        <v>209</v>
      </c>
      <c r="E58" s="300" t="s">
        <v>492</v>
      </c>
      <c r="F58" s="504" t="s">
        <v>123</v>
      </c>
      <c r="G58" s="505"/>
      <c r="H58" s="505"/>
      <c r="I58" s="505"/>
      <c r="J58" s="505"/>
      <c r="K58" s="505"/>
      <c r="L58" s="505"/>
      <c r="M58" s="506"/>
      <c r="N58" s="303" t="s">
        <v>112</v>
      </c>
      <c r="O58" s="297" t="s">
        <v>148</v>
      </c>
      <c r="P58" s="518" t="s">
        <v>115</v>
      </c>
      <c r="Q58" s="519"/>
      <c r="R58" s="518" t="s">
        <v>527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134</v>
      </c>
      <c r="B59" s="507"/>
      <c r="C59" s="300" t="s">
        <v>156</v>
      </c>
      <c r="D59" s="300" t="s">
        <v>115</v>
      </c>
      <c r="E59" s="300" t="s">
        <v>495</v>
      </c>
      <c r="F59" s="504" t="s">
        <v>529</v>
      </c>
      <c r="G59" s="505"/>
      <c r="H59" s="505"/>
      <c r="I59" s="505"/>
      <c r="J59" s="505"/>
      <c r="K59" s="505"/>
      <c r="L59" s="505"/>
      <c r="M59" s="506"/>
      <c r="N59" s="303" t="s">
        <v>112</v>
      </c>
      <c r="O59" s="297" t="s">
        <v>247</v>
      </c>
      <c r="P59" s="518" t="s">
        <v>121</v>
      </c>
      <c r="Q59" s="519"/>
      <c r="R59" s="518" t="s">
        <v>205</v>
      </c>
      <c r="S59" s="520"/>
      <c r="T59" s="520"/>
      <c r="U59" s="519"/>
      <c r="V59" s="504" t="s">
        <v>123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300" t="s">
        <v>201</v>
      </c>
      <c r="D60" s="300" t="s">
        <v>164</v>
      </c>
      <c r="E60" s="300" t="s">
        <v>442</v>
      </c>
      <c r="F60" s="504" t="s">
        <v>123</v>
      </c>
      <c r="G60" s="505"/>
      <c r="H60" s="505"/>
      <c r="I60" s="505"/>
      <c r="J60" s="505"/>
      <c r="K60" s="505"/>
      <c r="L60" s="505"/>
      <c r="M60" s="506"/>
      <c r="N60" s="303" t="s">
        <v>112</v>
      </c>
      <c r="O60" s="297" t="s">
        <v>220</v>
      </c>
      <c r="P60" s="518" t="s">
        <v>115</v>
      </c>
      <c r="Q60" s="519"/>
      <c r="R60" s="518" t="s">
        <v>250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112</v>
      </c>
      <c r="B61" s="507"/>
      <c r="C61" s="300" t="s">
        <v>148</v>
      </c>
      <c r="D61" s="300" t="s">
        <v>115</v>
      </c>
      <c r="E61" s="300" t="s">
        <v>527</v>
      </c>
      <c r="F61" s="504" t="s">
        <v>530</v>
      </c>
      <c r="G61" s="505"/>
      <c r="H61" s="505"/>
      <c r="I61" s="505"/>
      <c r="J61" s="505"/>
      <c r="K61" s="505"/>
      <c r="L61" s="505"/>
      <c r="M61" s="506"/>
      <c r="N61" s="303" t="s">
        <v>535</v>
      </c>
      <c r="O61" s="297" t="s">
        <v>536</v>
      </c>
      <c r="P61" s="518" t="s">
        <v>115</v>
      </c>
      <c r="Q61" s="519"/>
      <c r="R61" s="518" t="s">
        <v>534</v>
      </c>
      <c r="S61" s="520"/>
      <c r="T61" s="520"/>
      <c r="U61" s="519"/>
      <c r="V61" s="504" t="s">
        <v>123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482</v>
      </c>
      <c r="B62" s="507"/>
      <c r="C62" s="300" t="s">
        <v>483</v>
      </c>
      <c r="D62" s="300" t="s">
        <v>137</v>
      </c>
      <c r="E62" s="300" t="s">
        <v>484</v>
      </c>
      <c r="F62" s="504" t="s">
        <v>217</v>
      </c>
      <c r="G62" s="505"/>
      <c r="H62" s="505"/>
      <c r="I62" s="505"/>
      <c r="J62" s="505"/>
      <c r="K62" s="505"/>
      <c r="L62" s="505"/>
      <c r="M62" s="506"/>
      <c r="N62" s="303"/>
      <c r="O62" s="297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 t="s">
        <v>134</v>
      </c>
      <c r="B63" s="507"/>
      <c r="C63" s="300" t="s">
        <v>532</v>
      </c>
      <c r="D63" s="300"/>
      <c r="E63" s="300" t="s">
        <v>531</v>
      </c>
      <c r="F63" s="504" t="s">
        <v>123</v>
      </c>
      <c r="G63" s="505"/>
      <c r="H63" s="505"/>
      <c r="I63" s="505"/>
      <c r="J63" s="505"/>
      <c r="K63" s="505"/>
      <c r="L63" s="505"/>
      <c r="M63" s="506"/>
      <c r="N63" s="303"/>
      <c r="O63" s="297"/>
      <c r="P63" s="518"/>
      <c r="Q63" s="519"/>
      <c r="R63" s="518"/>
      <c r="S63" s="520"/>
      <c r="T63" s="520"/>
      <c r="U63" s="519"/>
      <c r="V63" s="504"/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/>
      <c r="B64" s="507"/>
      <c r="C64" s="300"/>
      <c r="D64" s="300"/>
      <c r="E64" s="300"/>
      <c r="F64" s="504"/>
      <c r="G64" s="505"/>
      <c r="H64" s="505"/>
      <c r="I64" s="505"/>
      <c r="J64" s="505"/>
      <c r="K64" s="505"/>
      <c r="L64" s="505"/>
      <c r="M64" s="506"/>
      <c r="N64" s="303"/>
      <c r="O64" s="297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299"/>
      <c r="D65" s="299"/>
      <c r="E65" s="300"/>
      <c r="F65" s="504"/>
      <c r="G65" s="505"/>
      <c r="H65" s="505"/>
      <c r="I65" s="505"/>
      <c r="J65" s="505"/>
      <c r="K65" s="505"/>
      <c r="L65" s="505"/>
      <c r="M65" s="506"/>
      <c r="N65" s="303"/>
      <c r="O65" s="297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299"/>
      <c r="D66" s="299"/>
      <c r="E66" s="300"/>
      <c r="F66" s="504"/>
      <c r="G66" s="505"/>
      <c r="H66" s="505"/>
      <c r="I66" s="505"/>
      <c r="J66" s="505"/>
      <c r="K66" s="505"/>
      <c r="L66" s="505"/>
      <c r="M66" s="506"/>
      <c r="N66" s="303"/>
      <c r="O66" s="297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301"/>
      <c r="D67" s="302"/>
      <c r="E67" s="301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537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298" t="s">
        <v>2</v>
      </c>
      <c r="D69" s="298" t="s">
        <v>37</v>
      </c>
      <c r="E69" s="298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298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539</v>
      </c>
      <c r="D70" s="293"/>
      <c r="E70" s="296" t="s">
        <v>540</v>
      </c>
      <c r="F70" s="488" t="s">
        <v>538</v>
      </c>
      <c r="G70" s="478"/>
      <c r="H70" s="478"/>
      <c r="I70" s="478"/>
      <c r="J70" s="478"/>
      <c r="K70" s="478" t="s">
        <v>543</v>
      </c>
      <c r="L70" s="478"/>
      <c r="M70" s="51" t="s">
        <v>544</v>
      </c>
      <c r="N70" s="489" t="s">
        <v>545</v>
      </c>
      <c r="O70" s="489"/>
      <c r="P70" s="490"/>
      <c r="Q70" s="490"/>
      <c r="R70" s="491" t="s">
        <v>546</v>
      </c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539</v>
      </c>
      <c r="D71" s="293"/>
      <c r="E71" s="296" t="s">
        <v>540</v>
      </c>
      <c r="F71" s="492" t="s">
        <v>541</v>
      </c>
      <c r="G71" s="493"/>
      <c r="H71" s="493"/>
      <c r="I71" s="493"/>
      <c r="J71" s="494"/>
      <c r="K71" s="478" t="s">
        <v>543</v>
      </c>
      <c r="L71" s="478"/>
      <c r="M71" s="51" t="s">
        <v>544</v>
      </c>
      <c r="N71" s="489" t="s">
        <v>545</v>
      </c>
      <c r="O71" s="489"/>
      <c r="P71" s="490">
        <v>100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 t="s">
        <v>539</v>
      </c>
      <c r="D72" s="293"/>
      <c r="E72" s="296" t="s">
        <v>540</v>
      </c>
      <c r="F72" s="492" t="s">
        <v>542</v>
      </c>
      <c r="G72" s="493"/>
      <c r="H72" s="493"/>
      <c r="I72" s="493"/>
      <c r="J72" s="494"/>
      <c r="K72" s="478" t="s">
        <v>543</v>
      </c>
      <c r="L72" s="478"/>
      <c r="M72" s="51" t="s">
        <v>544</v>
      </c>
      <c r="N72" s="489" t="s">
        <v>545</v>
      </c>
      <c r="O72" s="489"/>
      <c r="P72" s="490">
        <v>100</v>
      </c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 t="s">
        <v>549</v>
      </c>
      <c r="D73" s="293"/>
      <c r="E73" s="296" t="s">
        <v>548</v>
      </c>
      <c r="F73" s="492" t="s">
        <v>547</v>
      </c>
      <c r="G73" s="493"/>
      <c r="H73" s="493"/>
      <c r="I73" s="493"/>
      <c r="J73" s="494"/>
      <c r="K73" s="478" t="s">
        <v>550</v>
      </c>
      <c r="L73" s="478"/>
      <c r="M73" s="51" t="s">
        <v>551</v>
      </c>
      <c r="N73" s="489" t="s">
        <v>552</v>
      </c>
      <c r="O73" s="489"/>
      <c r="P73" s="490">
        <v>100</v>
      </c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293"/>
      <c r="E74" s="296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293"/>
      <c r="E75" s="296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293"/>
      <c r="E76" s="296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293"/>
      <c r="E77" s="296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293"/>
      <c r="E78" s="296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293"/>
      <c r="E79" s="296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553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295" t="s">
        <v>2</v>
      </c>
      <c r="D81" s="295" t="s">
        <v>37</v>
      </c>
      <c r="E81" s="295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294"/>
      <c r="D82" s="294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293"/>
      <c r="D83" s="293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293"/>
      <c r="D84" s="293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293"/>
      <c r="D85" s="293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293"/>
      <c r="D86" s="293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293"/>
      <c r="D87" s="293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293"/>
      <c r="D88" s="293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554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4"/>
      <c r="N91" s="454"/>
      <c r="O91" s="454"/>
      <c r="P91" s="454"/>
      <c r="Q91" s="454"/>
      <c r="R91" s="454"/>
      <c r="S91" s="454"/>
      <c r="T91" s="454"/>
      <c r="U91" s="454"/>
      <c r="V91" s="455"/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4AA7-22F2-49F6-8CA2-A46D649BF178}">
  <sheetPr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555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306" t="s">
        <v>17</v>
      </c>
      <c r="L5" s="306" t="s">
        <v>18</v>
      </c>
      <c r="M5" s="306" t="s">
        <v>19</v>
      </c>
      <c r="N5" s="30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209</v>
      </c>
      <c r="E6" s="53" t="s">
        <v>492</v>
      </c>
      <c r="F6" s="30" t="s">
        <v>479</v>
      </c>
      <c r="G6" s="12">
        <v>1</v>
      </c>
      <c r="H6" s="13">
        <v>24</v>
      </c>
      <c r="I6" s="31">
        <v>500</v>
      </c>
      <c r="J6" s="14">
        <v>637</v>
      </c>
      <c r="K6" s="15">
        <f>L6+637</f>
        <v>637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 t="shared" ref="AD6:AD27" si="6">AC6*AB6*(1-O6)</f>
        <v>0</v>
      </c>
      <c r="AE6" s="36">
        <f t="shared" ref="AE6:AE27" si="7">$AD$28</f>
        <v>0.13257575757575754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5780</v>
      </c>
      <c r="K7" s="15">
        <f>L7+4540+5413+4776+3810+3773+2780+4786+5910+5528+3614+7707+9828+3822+6888+11032+9113+10064+12756+9446+2965+8390+12796+12772+12708+12736+7762+10491+9936+5780</f>
        <v>221922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0.13257575757575754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197</v>
      </c>
      <c r="D8" s="52"/>
      <c r="E8" s="53" t="s">
        <v>192</v>
      </c>
      <c r="F8" s="30" t="s">
        <v>212</v>
      </c>
      <c r="G8" s="12">
        <v>2</v>
      </c>
      <c r="H8" s="13">
        <v>24</v>
      </c>
      <c r="I8" s="7">
        <v>126000</v>
      </c>
      <c r="J8" s="14">
        <v>3806</v>
      </c>
      <c r="K8" s="15">
        <f>L8+1708+5184+11810+11756+5148+11086+11698+11644+7968+11268+11096+11214+11704+11584</f>
        <v>138674</v>
      </c>
      <c r="L8" s="15">
        <f>1903*2</f>
        <v>3806</v>
      </c>
      <c r="M8" s="15">
        <f t="shared" si="0"/>
        <v>3806</v>
      </c>
      <c r="N8" s="15">
        <v>0</v>
      </c>
      <c r="O8" s="58">
        <f t="shared" si="1"/>
        <v>0</v>
      </c>
      <c r="P8" s="39">
        <f t="shared" si="2"/>
        <v>7</v>
      </c>
      <c r="Q8" s="40">
        <f t="shared" si="3"/>
        <v>17</v>
      </c>
      <c r="R8" s="7"/>
      <c r="S8" s="6"/>
      <c r="T8" s="16"/>
      <c r="U8" s="16"/>
      <c r="V8" s="17"/>
      <c r="W8" s="5">
        <v>17</v>
      </c>
      <c r="X8" s="16"/>
      <c r="Y8" s="16"/>
      <c r="Z8" s="16"/>
      <c r="AA8" s="18"/>
      <c r="AB8" s="8">
        <f t="shared" si="4"/>
        <v>1</v>
      </c>
      <c r="AC8" s="9">
        <f t="shared" si="5"/>
        <v>0.29166666666666669</v>
      </c>
      <c r="AD8" s="10">
        <f t="shared" si="6"/>
        <v>0.29166666666666669</v>
      </c>
      <c r="AE8" s="36">
        <f t="shared" si="7"/>
        <v>0.13257575757575754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137</v>
      </c>
      <c r="E9" s="53" t="s">
        <v>460</v>
      </c>
      <c r="F9" s="30" t="s">
        <v>480</v>
      </c>
      <c r="G9" s="12">
        <v>1</v>
      </c>
      <c r="H9" s="13">
        <v>24</v>
      </c>
      <c r="I9" s="7">
        <v>8000</v>
      </c>
      <c r="J9" s="14">
        <v>1886</v>
      </c>
      <c r="K9" s="15">
        <f>L9+2971+5225</f>
        <v>10082</v>
      </c>
      <c r="L9" s="15">
        <v>1886</v>
      </c>
      <c r="M9" s="15">
        <f t="shared" si="0"/>
        <v>1886</v>
      </c>
      <c r="N9" s="15">
        <v>0</v>
      </c>
      <c r="O9" s="58">
        <f t="shared" si="1"/>
        <v>0</v>
      </c>
      <c r="P9" s="39">
        <f t="shared" si="2"/>
        <v>7</v>
      </c>
      <c r="Q9" s="40">
        <f t="shared" si="3"/>
        <v>17</v>
      </c>
      <c r="R9" s="7"/>
      <c r="S9" s="6"/>
      <c r="T9" s="16"/>
      <c r="U9" s="16"/>
      <c r="V9" s="17"/>
      <c r="W9" s="5">
        <v>17</v>
      </c>
      <c r="X9" s="16"/>
      <c r="Y9" s="16"/>
      <c r="Z9" s="16"/>
      <c r="AA9" s="18"/>
      <c r="AB9" s="8">
        <f t="shared" si="4"/>
        <v>1</v>
      </c>
      <c r="AC9" s="9">
        <f t="shared" si="5"/>
        <v>0.29166666666666669</v>
      </c>
      <c r="AD9" s="10">
        <f t="shared" si="6"/>
        <v>0.29166666666666669</v>
      </c>
      <c r="AE9" s="36">
        <f t="shared" si="7"/>
        <v>0.13257575757575754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197</v>
      </c>
      <c r="D10" s="52"/>
      <c r="E10" s="53" t="s">
        <v>194</v>
      </c>
      <c r="F10" s="30" t="s">
        <v>135</v>
      </c>
      <c r="G10" s="33">
        <v>2</v>
      </c>
      <c r="H10" s="35">
        <v>24</v>
      </c>
      <c r="I10" s="7">
        <v>126000</v>
      </c>
      <c r="J10" s="14">
        <v>11538</v>
      </c>
      <c r="K10" s="15">
        <f>L10+11830+12840+12918+12834+5574+11176+13572+8552+12834+12546+11538</f>
        <v>126214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0.13257575757575754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164</v>
      </c>
      <c r="E11" s="53" t="s">
        <v>442</v>
      </c>
      <c r="F11" s="30" t="s">
        <v>126</v>
      </c>
      <c r="G11" s="33">
        <v>1</v>
      </c>
      <c r="H11" s="35">
        <v>24</v>
      </c>
      <c r="I11" s="7">
        <v>5000</v>
      </c>
      <c r="J11" s="14">
        <v>2076</v>
      </c>
      <c r="K11" s="15">
        <f>L11+3813</f>
        <v>5889</v>
      </c>
      <c r="L11" s="15">
        <v>2076</v>
      </c>
      <c r="M11" s="15">
        <f t="shared" si="0"/>
        <v>2076</v>
      </c>
      <c r="N11" s="15">
        <v>0</v>
      </c>
      <c r="O11" s="58">
        <f t="shared" si="1"/>
        <v>0</v>
      </c>
      <c r="P11" s="39">
        <f t="shared" si="2"/>
        <v>7</v>
      </c>
      <c r="Q11" s="40">
        <f t="shared" si="3"/>
        <v>17</v>
      </c>
      <c r="R11" s="7"/>
      <c r="S11" s="6"/>
      <c r="T11" s="16"/>
      <c r="U11" s="16"/>
      <c r="V11" s="17"/>
      <c r="W11" s="5">
        <v>17</v>
      </c>
      <c r="X11" s="16"/>
      <c r="Y11" s="16"/>
      <c r="Z11" s="16"/>
      <c r="AA11" s="18"/>
      <c r="AB11" s="8">
        <f t="shared" si="4"/>
        <v>1</v>
      </c>
      <c r="AC11" s="9">
        <f t="shared" si="5"/>
        <v>0.29166666666666669</v>
      </c>
      <c r="AD11" s="10">
        <f t="shared" si="6"/>
        <v>0.29166666666666669</v>
      </c>
      <c r="AE11" s="36">
        <f t="shared" si="7"/>
        <v>0.13257575757575754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134</v>
      </c>
      <c r="D12" s="52" t="s">
        <v>115</v>
      </c>
      <c r="E12" s="53" t="s">
        <v>495</v>
      </c>
      <c r="F12" s="30" t="s">
        <v>135</v>
      </c>
      <c r="G12" s="12">
        <v>2</v>
      </c>
      <c r="H12" s="13">
        <v>22</v>
      </c>
      <c r="I12" s="31">
        <v>10000</v>
      </c>
      <c r="J12" s="5">
        <v>5282</v>
      </c>
      <c r="K12" s="15">
        <f>L12+5282</f>
        <v>5282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0.13257575757575754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134</v>
      </c>
      <c r="D13" s="52" t="s">
        <v>525</v>
      </c>
      <c r="E13" s="53" t="s">
        <v>526</v>
      </c>
      <c r="F13" s="30" t="s">
        <v>126</v>
      </c>
      <c r="G13" s="33">
        <v>1</v>
      </c>
      <c r="H13" s="35">
        <v>22</v>
      </c>
      <c r="I13" s="7">
        <v>4500</v>
      </c>
      <c r="J13" s="14">
        <v>1671</v>
      </c>
      <c r="K13" s="15">
        <f>L13+3420</f>
        <v>5091</v>
      </c>
      <c r="L13" s="15">
        <v>1671</v>
      </c>
      <c r="M13" s="15">
        <f t="shared" si="0"/>
        <v>1671</v>
      </c>
      <c r="N13" s="15">
        <v>0</v>
      </c>
      <c r="O13" s="58">
        <f t="shared" si="1"/>
        <v>0</v>
      </c>
      <c r="P13" s="39">
        <f t="shared" si="2"/>
        <v>7</v>
      </c>
      <c r="Q13" s="40">
        <f t="shared" si="3"/>
        <v>17</v>
      </c>
      <c r="R13" s="7"/>
      <c r="S13" s="6"/>
      <c r="T13" s="16"/>
      <c r="U13" s="16"/>
      <c r="V13" s="17">
        <v>17</v>
      </c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0.29166666666666669</v>
      </c>
      <c r="AD13" s="10">
        <f t="shared" si="6"/>
        <v>0.29166666666666669</v>
      </c>
      <c r="AE13" s="36">
        <f t="shared" si="7"/>
        <v>0.13257575757575754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534</v>
      </c>
      <c r="F14" s="30" t="s">
        <v>230</v>
      </c>
      <c r="G14" s="33">
        <v>1</v>
      </c>
      <c r="H14" s="35">
        <v>30</v>
      </c>
      <c r="I14" s="7">
        <v>100</v>
      </c>
      <c r="J14" s="5">
        <v>186</v>
      </c>
      <c r="K14" s="15">
        <f>L14</f>
        <v>186</v>
      </c>
      <c r="L14" s="15">
        <v>186</v>
      </c>
      <c r="M14" s="15">
        <f t="shared" si="0"/>
        <v>186</v>
      </c>
      <c r="N14" s="15">
        <v>0</v>
      </c>
      <c r="O14" s="58">
        <f t="shared" si="1"/>
        <v>0</v>
      </c>
      <c r="P14" s="39">
        <f t="shared" si="2"/>
        <v>5</v>
      </c>
      <c r="Q14" s="40">
        <f t="shared" si="3"/>
        <v>19</v>
      </c>
      <c r="R14" s="7"/>
      <c r="S14" s="6"/>
      <c r="T14" s="16"/>
      <c r="U14" s="16"/>
      <c r="V14" s="17"/>
      <c r="W14" s="5">
        <v>19</v>
      </c>
      <c r="X14" s="16"/>
      <c r="Y14" s="16"/>
      <c r="Z14" s="16"/>
      <c r="AA14" s="18"/>
      <c r="AB14" s="8">
        <f t="shared" si="4"/>
        <v>1</v>
      </c>
      <c r="AC14" s="9">
        <f t="shared" si="5"/>
        <v>0.20833333333333334</v>
      </c>
      <c r="AD14" s="10">
        <f t="shared" si="6"/>
        <v>0.20833333333333334</v>
      </c>
      <c r="AE14" s="36">
        <f t="shared" si="7"/>
        <v>0.13257575757575754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0.13257575757575754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112</v>
      </c>
      <c r="D16" s="52" t="s">
        <v>121</v>
      </c>
      <c r="E16" s="53" t="s">
        <v>205</v>
      </c>
      <c r="F16" s="30" t="s">
        <v>136</v>
      </c>
      <c r="G16" s="12">
        <v>2</v>
      </c>
      <c r="H16" s="13">
        <v>24</v>
      </c>
      <c r="I16" s="7">
        <v>300</v>
      </c>
      <c r="J16" s="14">
        <v>466</v>
      </c>
      <c r="K16" s="15">
        <f>L16</f>
        <v>466</v>
      </c>
      <c r="L16" s="15">
        <f>233*2</f>
        <v>466</v>
      </c>
      <c r="M16" s="15">
        <f t="shared" si="0"/>
        <v>466</v>
      </c>
      <c r="N16" s="15">
        <v>0</v>
      </c>
      <c r="O16" s="58">
        <f t="shared" si="1"/>
        <v>0</v>
      </c>
      <c r="P16" s="39">
        <f t="shared" si="2"/>
        <v>3</v>
      </c>
      <c r="Q16" s="40">
        <f t="shared" si="3"/>
        <v>21</v>
      </c>
      <c r="R16" s="7"/>
      <c r="S16" s="6"/>
      <c r="T16" s="16"/>
      <c r="U16" s="16"/>
      <c r="V16" s="17"/>
      <c r="W16" s="5">
        <v>21</v>
      </c>
      <c r="X16" s="16"/>
      <c r="Y16" s="16"/>
      <c r="Z16" s="16"/>
      <c r="AA16" s="18"/>
      <c r="AB16" s="8">
        <f t="shared" si="4"/>
        <v>1</v>
      </c>
      <c r="AC16" s="9">
        <f t="shared" si="5"/>
        <v>0.125</v>
      </c>
      <c r="AD16" s="10">
        <f t="shared" si="6"/>
        <v>0.125</v>
      </c>
      <c r="AE16" s="36">
        <f t="shared" si="7"/>
        <v>0.13257575757575754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28200</v>
      </c>
      <c r="K17" s="15">
        <f>L17+26370+39325+19755+18405+40885+18620+38310+41130+40940+28200</f>
        <v>311940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0.13257575757575754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527</v>
      </c>
      <c r="F18" s="30" t="s">
        <v>127</v>
      </c>
      <c r="G18" s="33">
        <v>1</v>
      </c>
      <c r="H18" s="35">
        <v>24</v>
      </c>
      <c r="I18" s="7">
        <v>2000</v>
      </c>
      <c r="J18" s="14">
        <v>466</v>
      </c>
      <c r="K18" s="15">
        <f>L18+1040</f>
        <v>1506</v>
      </c>
      <c r="L18" s="15">
        <v>466</v>
      </c>
      <c r="M18" s="15">
        <f t="shared" si="0"/>
        <v>466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>
        <v>2</v>
      </c>
      <c r="T18" s="16"/>
      <c r="U18" s="16"/>
      <c r="V18" s="17"/>
      <c r="W18" s="5">
        <v>16</v>
      </c>
      <c r="X18" s="16"/>
      <c r="Y18" s="16"/>
      <c r="Z18" s="16"/>
      <c r="AA18" s="18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6">
        <f t="shared" si="7"/>
        <v>0.13257575757575754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133</v>
      </c>
      <c r="E19" s="53" t="s">
        <v>401</v>
      </c>
      <c r="F19" s="30" t="s">
        <v>127</v>
      </c>
      <c r="G19" s="33">
        <v>1</v>
      </c>
      <c r="H19" s="35">
        <v>24</v>
      </c>
      <c r="I19" s="7">
        <v>20000</v>
      </c>
      <c r="J19" s="14">
        <v>1902</v>
      </c>
      <c r="K19" s="15">
        <f>L19+2290+5013+5211+2793+5059</f>
        <v>22268</v>
      </c>
      <c r="L19" s="15">
        <v>1902</v>
      </c>
      <c r="M19" s="15">
        <f t="shared" si="0"/>
        <v>1902</v>
      </c>
      <c r="N19" s="15">
        <v>0</v>
      </c>
      <c r="O19" s="58">
        <f t="shared" si="1"/>
        <v>0</v>
      </c>
      <c r="P19" s="39">
        <f t="shared" si="2"/>
        <v>7</v>
      </c>
      <c r="Q19" s="40">
        <f t="shared" si="3"/>
        <v>17</v>
      </c>
      <c r="R19" s="7"/>
      <c r="S19" s="6"/>
      <c r="T19" s="16"/>
      <c r="U19" s="16"/>
      <c r="V19" s="17">
        <v>17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0.29166666666666669</v>
      </c>
      <c r="AD19" s="10">
        <f t="shared" si="6"/>
        <v>0.29166666666666669</v>
      </c>
      <c r="AE19" s="36">
        <f t="shared" si="7"/>
        <v>0.13257575757575754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250</v>
      </c>
      <c r="F20" s="30" t="s">
        <v>126</v>
      </c>
      <c r="G20" s="12">
        <v>2</v>
      </c>
      <c r="H20" s="13">
        <v>24</v>
      </c>
      <c r="I20" s="7">
        <v>200</v>
      </c>
      <c r="J20" s="14">
        <v>400</v>
      </c>
      <c r="K20" s="15">
        <f>L20</f>
        <v>400</v>
      </c>
      <c r="L20" s="15">
        <f>400</f>
        <v>400</v>
      </c>
      <c r="M20" s="15">
        <f t="shared" si="0"/>
        <v>400</v>
      </c>
      <c r="N20" s="15">
        <v>0</v>
      </c>
      <c r="O20" s="58">
        <f t="shared" si="1"/>
        <v>0</v>
      </c>
      <c r="P20" s="39">
        <f t="shared" si="2"/>
        <v>7</v>
      </c>
      <c r="Q20" s="40">
        <f t="shared" si="3"/>
        <v>17</v>
      </c>
      <c r="R20" s="7"/>
      <c r="S20" s="6"/>
      <c r="T20" s="16"/>
      <c r="U20" s="16"/>
      <c r="V20" s="17"/>
      <c r="W20" s="5">
        <v>17</v>
      </c>
      <c r="X20" s="16"/>
      <c r="Y20" s="16"/>
      <c r="Z20" s="16"/>
      <c r="AA20" s="18"/>
      <c r="AB20" s="8">
        <f t="shared" si="4"/>
        <v>1</v>
      </c>
      <c r="AC20" s="9">
        <f t="shared" si="5"/>
        <v>0.29166666666666669</v>
      </c>
      <c r="AD20" s="10">
        <f t="shared" si="6"/>
        <v>0.29166666666666669</v>
      </c>
      <c r="AE20" s="36">
        <f t="shared" si="7"/>
        <v>0.13257575757575754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19568</v>
      </c>
      <c r="K21" s="15">
        <f>L21+50740+61508+62116+62068+58848+54656+61696+61724+33064+28160+54396+62000+61828+61480+59956+61580</f>
        <v>915388</v>
      </c>
      <c r="L21" s="15">
        <f>4892*4</f>
        <v>19568</v>
      </c>
      <c r="M21" s="15">
        <f t="shared" si="0"/>
        <v>19568</v>
      </c>
      <c r="N21" s="15">
        <v>0</v>
      </c>
      <c r="O21" s="58">
        <f t="shared" si="1"/>
        <v>0</v>
      </c>
      <c r="P21" s="39">
        <f t="shared" si="2"/>
        <v>7</v>
      </c>
      <c r="Q21" s="40">
        <f t="shared" si="3"/>
        <v>17</v>
      </c>
      <c r="R21" s="7"/>
      <c r="S21" s="6"/>
      <c r="T21" s="16"/>
      <c r="U21" s="16"/>
      <c r="V21" s="17"/>
      <c r="W21" s="5">
        <v>17</v>
      </c>
      <c r="X21" s="16"/>
      <c r="Y21" s="16"/>
      <c r="Z21" s="16"/>
      <c r="AA21" s="18"/>
      <c r="AB21" s="8">
        <f t="shared" si="4"/>
        <v>1</v>
      </c>
      <c r="AC21" s="9">
        <f t="shared" si="5"/>
        <v>0.29166666666666669</v>
      </c>
      <c r="AD21" s="10">
        <f t="shared" si="6"/>
        <v>0.29166666666666669</v>
      </c>
      <c r="AE21" s="36">
        <f t="shared" si="7"/>
        <v>0.13257575757575754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0.13257575757575754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0.13257575757575754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0.13257575757575754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0.13257575757575754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0.13257575757575754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185984</v>
      </c>
      <c r="K27" s="15">
        <f>L27+396032+523136+552288+502656+539840+542400+544128</f>
        <v>3786464</v>
      </c>
      <c r="L27" s="15">
        <f>5812*32</f>
        <v>185984</v>
      </c>
      <c r="M27" s="15">
        <f t="shared" si="0"/>
        <v>185984</v>
      </c>
      <c r="N27" s="15">
        <v>0</v>
      </c>
      <c r="O27" s="58">
        <f t="shared" si="1"/>
        <v>0</v>
      </c>
      <c r="P27" s="39">
        <f t="shared" si="2"/>
        <v>7</v>
      </c>
      <c r="Q27" s="40">
        <f t="shared" si="3"/>
        <v>17</v>
      </c>
      <c r="R27" s="7"/>
      <c r="S27" s="6"/>
      <c r="T27" s="16"/>
      <c r="U27" s="16"/>
      <c r="V27" s="120"/>
      <c r="W27" s="5">
        <v>17</v>
      </c>
      <c r="X27" s="16"/>
      <c r="Y27" s="16"/>
      <c r="Z27" s="16"/>
      <c r="AA27" s="18"/>
      <c r="AB27" s="8">
        <f t="shared" si="4"/>
        <v>1</v>
      </c>
      <c r="AC27" s="9">
        <f t="shared" si="5"/>
        <v>0.29166666666666669</v>
      </c>
      <c r="AD27" s="10">
        <f t="shared" si="6"/>
        <v>0.29166666666666669</v>
      </c>
      <c r="AE27" s="36">
        <f t="shared" si="7"/>
        <v>0.13257575757575754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4354600</v>
      </c>
      <c r="J28" s="19">
        <f t="shared" si="9"/>
        <v>320980</v>
      </c>
      <c r="K28" s="20">
        <f t="shared" si="9"/>
        <v>6297785</v>
      </c>
      <c r="L28" s="21">
        <f t="shared" si="9"/>
        <v>218411</v>
      </c>
      <c r="M28" s="20">
        <f t="shared" si="9"/>
        <v>218411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70</v>
      </c>
      <c r="Q28" s="43">
        <f t="shared" si="10"/>
        <v>458</v>
      </c>
      <c r="R28" s="23">
        <f t="shared" si="10"/>
        <v>0</v>
      </c>
      <c r="S28" s="24">
        <f t="shared" si="10"/>
        <v>26</v>
      </c>
      <c r="T28" s="24">
        <f t="shared" si="10"/>
        <v>0</v>
      </c>
      <c r="U28" s="24">
        <f t="shared" si="10"/>
        <v>0</v>
      </c>
      <c r="V28" s="25">
        <f t="shared" si="10"/>
        <v>34</v>
      </c>
      <c r="W28" s="26">
        <f t="shared" si="10"/>
        <v>398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0.55000000000000004</v>
      </c>
      <c r="AC28" s="4">
        <f>AVERAGE(AC6:AC27)</f>
        <v>0.13257575757575754</v>
      </c>
      <c r="AD28" s="4">
        <f>AVERAGE(AD6:AD27)</f>
        <v>0.13257575757575754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556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566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307" t="s">
        <v>46</v>
      </c>
      <c r="D57" s="307" t="s">
        <v>47</v>
      </c>
      <c r="E57" s="307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307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134</v>
      </c>
      <c r="B58" s="507"/>
      <c r="C58" s="319" t="s">
        <v>219</v>
      </c>
      <c r="D58" s="319" t="s">
        <v>115</v>
      </c>
      <c r="E58" s="319" t="s">
        <v>495</v>
      </c>
      <c r="F58" s="504" t="s">
        <v>557</v>
      </c>
      <c r="G58" s="505"/>
      <c r="H58" s="505"/>
      <c r="I58" s="505"/>
      <c r="J58" s="505"/>
      <c r="K58" s="505"/>
      <c r="L58" s="505"/>
      <c r="M58" s="506"/>
      <c r="N58" s="308" t="s">
        <v>134</v>
      </c>
      <c r="O58" s="315" t="s">
        <v>198</v>
      </c>
      <c r="P58" s="518" t="s">
        <v>115</v>
      </c>
      <c r="Q58" s="519"/>
      <c r="R58" s="518" t="s">
        <v>495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319" t="s">
        <v>148</v>
      </c>
      <c r="D59" s="319" t="s">
        <v>115</v>
      </c>
      <c r="E59" s="319" t="s">
        <v>527</v>
      </c>
      <c r="F59" s="504" t="s">
        <v>217</v>
      </c>
      <c r="G59" s="505"/>
      <c r="H59" s="505"/>
      <c r="I59" s="505"/>
      <c r="J59" s="505"/>
      <c r="K59" s="505"/>
      <c r="L59" s="505"/>
      <c r="M59" s="506"/>
      <c r="N59" s="308" t="s">
        <v>112</v>
      </c>
      <c r="O59" s="315" t="s">
        <v>201</v>
      </c>
      <c r="P59" s="518" t="s">
        <v>202</v>
      </c>
      <c r="Q59" s="519"/>
      <c r="R59" s="518" t="s">
        <v>567</v>
      </c>
      <c r="S59" s="520"/>
      <c r="T59" s="520"/>
      <c r="U59" s="519"/>
      <c r="V59" s="504" t="s">
        <v>123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309" t="s">
        <v>558</v>
      </c>
      <c r="D60" s="309" t="s">
        <v>559</v>
      </c>
      <c r="E60" s="309" t="s">
        <v>560</v>
      </c>
      <c r="F60" s="504" t="s">
        <v>123</v>
      </c>
      <c r="G60" s="505"/>
      <c r="H60" s="505"/>
      <c r="I60" s="505"/>
      <c r="J60" s="505"/>
      <c r="K60" s="505"/>
      <c r="L60" s="505"/>
      <c r="M60" s="506"/>
      <c r="N60" s="308" t="s">
        <v>112</v>
      </c>
      <c r="O60" s="315" t="s">
        <v>220</v>
      </c>
      <c r="P60" s="518" t="s">
        <v>115</v>
      </c>
      <c r="Q60" s="519"/>
      <c r="R60" s="518" t="s">
        <v>153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112</v>
      </c>
      <c r="B61" s="507"/>
      <c r="C61" s="309" t="s">
        <v>220</v>
      </c>
      <c r="D61" s="309" t="s">
        <v>115</v>
      </c>
      <c r="E61" s="309" t="s">
        <v>561</v>
      </c>
      <c r="F61" s="504" t="s">
        <v>562</v>
      </c>
      <c r="G61" s="505"/>
      <c r="H61" s="505"/>
      <c r="I61" s="505"/>
      <c r="J61" s="505"/>
      <c r="K61" s="505"/>
      <c r="L61" s="505"/>
      <c r="M61" s="506"/>
      <c r="N61" s="308" t="s">
        <v>112</v>
      </c>
      <c r="O61" s="315" t="s">
        <v>190</v>
      </c>
      <c r="P61" s="518" t="s">
        <v>115</v>
      </c>
      <c r="Q61" s="519"/>
      <c r="R61" s="518" t="s">
        <v>568</v>
      </c>
      <c r="S61" s="520"/>
      <c r="T61" s="520"/>
      <c r="U61" s="519"/>
      <c r="V61" s="504" t="s">
        <v>123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563</v>
      </c>
      <c r="B62" s="507"/>
      <c r="C62" s="309" t="s">
        <v>564</v>
      </c>
      <c r="D62" s="309" t="s">
        <v>115</v>
      </c>
      <c r="E62" s="309" t="s">
        <v>565</v>
      </c>
      <c r="F62" s="504" t="s">
        <v>123</v>
      </c>
      <c r="G62" s="505"/>
      <c r="H62" s="505"/>
      <c r="I62" s="505"/>
      <c r="J62" s="505"/>
      <c r="K62" s="505"/>
      <c r="L62" s="505"/>
      <c r="M62" s="506"/>
      <c r="N62" s="308"/>
      <c r="O62" s="315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/>
      <c r="B63" s="507"/>
      <c r="C63" s="309"/>
      <c r="D63" s="309"/>
      <c r="E63" s="309"/>
      <c r="F63" s="504"/>
      <c r="G63" s="505"/>
      <c r="H63" s="505"/>
      <c r="I63" s="505"/>
      <c r="J63" s="505"/>
      <c r="K63" s="505"/>
      <c r="L63" s="505"/>
      <c r="M63" s="506"/>
      <c r="N63" s="308"/>
      <c r="O63" s="315"/>
      <c r="P63" s="518"/>
      <c r="Q63" s="519"/>
      <c r="R63" s="518"/>
      <c r="S63" s="520"/>
      <c r="T63" s="520"/>
      <c r="U63" s="519"/>
      <c r="V63" s="504"/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/>
      <c r="B64" s="507"/>
      <c r="C64" s="309"/>
      <c r="D64" s="309"/>
      <c r="E64" s="309"/>
      <c r="F64" s="504"/>
      <c r="G64" s="505"/>
      <c r="H64" s="505"/>
      <c r="I64" s="505"/>
      <c r="J64" s="505"/>
      <c r="K64" s="505"/>
      <c r="L64" s="505"/>
      <c r="M64" s="506"/>
      <c r="N64" s="308"/>
      <c r="O64" s="315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312"/>
      <c r="D65" s="312"/>
      <c r="E65" s="309"/>
      <c r="F65" s="504"/>
      <c r="G65" s="505"/>
      <c r="H65" s="505"/>
      <c r="I65" s="505"/>
      <c r="J65" s="505"/>
      <c r="K65" s="505"/>
      <c r="L65" s="505"/>
      <c r="M65" s="506"/>
      <c r="N65" s="308"/>
      <c r="O65" s="315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312"/>
      <c r="D66" s="312"/>
      <c r="E66" s="309"/>
      <c r="F66" s="504"/>
      <c r="G66" s="505"/>
      <c r="H66" s="505"/>
      <c r="I66" s="505"/>
      <c r="J66" s="505"/>
      <c r="K66" s="505"/>
      <c r="L66" s="505"/>
      <c r="M66" s="506"/>
      <c r="N66" s="308"/>
      <c r="O66" s="315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310"/>
      <c r="D67" s="311"/>
      <c r="E67" s="310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569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313" t="s">
        <v>2</v>
      </c>
      <c r="D69" s="313" t="s">
        <v>37</v>
      </c>
      <c r="E69" s="313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313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539</v>
      </c>
      <c r="D70" s="317"/>
      <c r="E70" s="314" t="s">
        <v>540</v>
      </c>
      <c r="F70" s="488" t="s">
        <v>538</v>
      </c>
      <c r="G70" s="478"/>
      <c r="H70" s="478"/>
      <c r="I70" s="478"/>
      <c r="J70" s="478"/>
      <c r="K70" s="478" t="s">
        <v>543</v>
      </c>
      <c r="L70" s="478"/>
      <c r="M70" s="51" t="s">
        <v>544</v>
      </c>
      <c r="N70" s="489" t="s">
        <v>545</v>
      </c>
      <c r="O70" s="489"/>
      <c r="P70" s="490">
        <v>100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539</v>
      </c>
      <c r="D71" s="317"/>
      <c r="E71" s="314" t="s">
        <v>540</v>
      </c>
      <c r="F71" s="488" t="s">
        <v>570</v>
      </c>
      <c r="G71" s="478"/>
      <c r="H71" s="478"/>
      <c r="I71" s="478"/>
      <c r="J71" s="478"/>
      <c r="K71" s="478" t="s">
        <v>543</v>
      </c>
      <c r="L71" s="478"/>
      <c r="M71" s="51" t="s">
        <v>544</v>
      </c>
      <c r="N71" s="489" t="s">
        <v>545</v>
      </c>
      <c r="O71" s="489"/>
      <c r="P71" s="490">
        <v>100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 t="s">
        <v>571</v>
      </c>
      <c r="D72" s="317"/>
      <c r="E72" s="314" t="s">
        <v>572</v>
      </c>
      <c r="F72" s="492" t="s">
        <v>573</v>
      </c>
      <c r="G72" s="493"/>
      <c r="H72" s="493"/>
      <c r="I72" s="493"/>
      <c r="J72" s="494"/>
      <c r="K72" s="478" t="s">
        <v>574</v>
      </c>
      <c r="L72" s="478"/>
      <c r="M72" s="51" t="s">
        <v>575</v>
      </c>
      <c r="N72" s="489" t="s">
        <v>558</v>
      </c>
      <c r="O72" s="489"/>
      <c r="P72" s="490">
        <v>100</v>
      </c>
      <c r="Q72" s="490"/>
      <c r="R72" s="491" t="s">
        <v>576</v>
      </c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317"/>
      <c r="E73" s="314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317"/>
      <c r="E74" s="314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317"/>
      <c r="E75" s="314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317"/>
      <c r="E76" s="314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317"/>
      <c r="E77" s="314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317"/>
      <c r="E78" s="314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317"/>
      <c r="E79" s="314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577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316" t="s">
        <v>2</v>
      </c>
      <c r="D81" s="316" t="s">
        <v>37</v>
      </c>
      <c r="E81" s="316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318"/>
      <c r="D82" s="318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317"/>
      <c r="D83" s="317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317"/>
      <c r="D84" s="317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317"/>
      <c r="D85" s="317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317"/>
      <c r="D86" s="317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317"/>
      <c r="D87" s="317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317"/>
      <c r="D88" s="317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578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4"/>
      <c r="N91" s="454"/>
      <c r="O91" s="454"/>
      <c r="P91" s="454"/>
      <c r="Q91" s="454"/>
      <c r="R91" s="454"/>
      <c r="S91" s="454"/>
      <c r="T91" s="454"/>
      <c r="U91" s="454"/>
      <c r="V91" s="455"/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6E83-9D52-4562-A041-FB0E920B4077}">
  <sheetPr>
    <pageSetUpPr fitToPage="1"/>
  </sheetPr>
  <dimension ref="A1:AF93"/>
  <sheetViews>
    <sheetView view="pageBreakPreview" zoomScale="70" zoomScaleNormal="72" zoomScaleSheetLayoutView="70" workbookViewId="0">
      <selection activeCell="K87" sqref="K87:S8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579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320" t="s">
        <v>17</v>
      </c>
      <c r="L5" s="320" t="s">
        <v>18</v>
      </c>
      <c r="M5" s="320" t="s">
        <v>19</v>
      </c>
      <c r="N5" s="32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209</v>
      </c>
      <c r="E6" s="53" t="s">
        <v>492</v>
      </c>
      <c r="F6" s="30" t="s">
        <v>479</v>
      </c>
      <c r="G6" s="12">
        <v>1</v>
      </c>
      <c r="H6" s="13">
        <v>24</v>
      </c>
      <c r="I6" s="31">
        <v>500</v>
      </c>
      <c r="J6" s="14">
        <v>637</v>
      </c>
      <c r="K6" s="15">
        <f>L6+637</f>
        <v>637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 t="shared" ref="AD6:AD27" si="6">AC6*AB6*(1-O6)</f>
        <v>0</v>
      </c>
      <c r="AE6" s="36">
        <f t="shared" ref="AE6:AE27" si="7">$AD$28</f>
        <v>0.34469696969696967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5780</v>
      </c>
      <c r="K7" s="15">
        <f>L7+4540+5413+4776+3810+3773+2780+4786+5910+5528+3614+7707+9828+3822+6888+11032+9113+10064+12756+9446+2965+8390+12796+12772+12708+12736+7762+10491+9936+5780</f>
        <v>221922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0.34469696969696967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134</v>
      </c>
      <c r="D8" s="52" t="s">
        <v>115</v>
      </c>
      <c r="E8" s="53" t="s">
        <v>495</v>
      </c>
      <c r="F8" s="30" t="s">
        <v>135</v>
      </c>
      <c r="G8" s="12">
        <v>2</v>
      </c>
      <c r="H8" s="13">
        <v>24</v>
      </c>
      <c r="I8" s="7">
        <v>10000</v>
      </c>
      <c r="J8" s="14">
        <v>11592</v>
      </c>
      <c r="K8" s="15">
        <f>L8</f>
        <v>11592</v>
      </c>
      <c r="L8" s="15">
        <f>2800*2+2996*2</f>
        <v>11592</v>
      </c>
      <c r="M8" s="15">
        <f t="shared" si="0"/>
        <v>11592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0.34469696969696967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137</v>
      </c>
      <c r="E9" s="53" t="s">
        <v>460</v>
      </c>
      <c r="F9" s="30" t="s">
        <v>480</v>
      </c>
      <c r="G9" s="12">
        <v>1</v>
      </c>
      <c r="H9" s="13">
        <v>24</v>
      </c>
      <c r="I9" s="7">
        <v>8000</v>
      </c>
      <c r="J9" s="14">
        <v>1886</v>
      </c>
      <c r="K9" s="15">
        <f>L9+2971+5225+1886</f>
        <v>10082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0.34469696969696967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328</v>
      </c>
      <c r="E10" s="53" t="s">
        <v>327</v>
      </c>
      <c r="F10" s="30" t="s">
        <v>425</v>
      </c>
      <c r="G10" s="33">
        <v>2</v>
      </c>
      <c r="H10" s="35">
        <v>24</v>
      </c>
      <c r="I10" s="7">
        <v>12000</v>
      </c>
      <c r="J10" s="14">
        <v>1600</v>
      </c>
      <c r="K10" s="15">
        <f>L10</f>
        <v>1600</v>
      </c>
      <c r="L10" s="15">
        <f>800*2</f>
        <v>1600</v>
      </c>
      <c r="M10" s="15">
        <f t="shared" si="0"/>
        <v>1600</v>
      </c>
      <c r="N10" s="15">
        <v>0</v>
      </c>
      <c r="O10" s="58">
        <f t="shared" si="1"/>
        <v>0</v>
      </c>
      <c r="P10" s="39">
        <f t="shared" si="2"/>
        <v>8</v>
      </c>
      <c r="Q10" s="40">
        <f t="shared" si="3"/>
        <v>16</v>
      </c>
      <c r="R10" s="7"/>
      <c r="S10" s="6">
        <v>16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0.33333333333333331</v>
      </c>
      <c r="AD10" s="10">
        <f t="shared" si="6"/>
        <v>0.33333333333333331</v>
      </c>
      <c r="AE10" s="36">
        <f t="shared" si="7"/>
        <v>0.34469696969696967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202</v>
      </c>
      <c r="E11" s="53" t="s">
        <v>567</v>
      </c>
      <c r="F11" s="30" t="s">
        <v>126</v>
      </c>
      <c r="G11" s="33">
        <v>1</v>
      </c>
      <c r="H11" s="35">
        <v>24</v>
      </c>
      <c r="I11" s="7">
        <v>50000</v>
      </c>
      <c r="J11" s="14">
        <v>12786</v>
      </c>
      <c r="K11" s="15">
        <f>L11</f>
        <v>12786</v>
      </c>
      <c r="L11" s="15">
        <f>2826*2+3567*2</f>
        <v>12786</v>
      </c>
      <c r="M11" s="15">
        <f t="shared" si="0"/>
        <v>12786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0.34469696969696967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134</v>
      </c>
      <c r="D12" s="52" t="s">
        <v>115</v>
      </c>
      <c r="E12" s="53" t="s">
        <v>495</v>
      </c>
      <c r="F12" s="30" t="s">
        <v>135</v>
      </c>
      <c r="G12" s="12">
        <v>2</v>
      </c>
      <c r="H12" s="13">
        <v>22</v>
      </c>
      <c r="I12" s="31">
        <v>10000</v>
      </c>
      <c r="J12" s="5">
        <v>5282</v>
      </c>
      <c r="K12" s="15">
        <f>L12+5282</f>
        <v>5282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0.34469696969696967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134</v>
      </c>
      <c r="D13" s="52" t="s">
        <v>525</v>
      </c>
      <c r="E13" s="53" t="s">
        <v>526</v>
      </c>
      <c r="F13" s="30" t="s">
        <v>126</v>
      </c>
      <c r="G13" s="33">
        <v>1</v>
      </c>
      <c r="H13" s="35">
        <v>22</v>
      </c>
      <c r="I13" s="7">
        <v>4500</v>
      </c>
      <c r="J13" s="14">
        <v>3899</v>
      </c>
      <c r="K13" s="15">
        <f>L13+3420+1671</f>
        <v>8990</v>
      </c>
      <c r="L13" s="15">
        <f>1993+1906</f>
        <v>3899</v>
      </c>
      <c r="M13" s="15">
        <f t="shared" si="0"/>
        <v>3899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0.34469696969696967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534</v>
      </c>
      <c r="F14" s="30" t="s">
        <v>230</v>
      </c>
      <c r="G14" s="33">
        <v>1</v>
      </c>
      <c r="H14" s="35">
        <v>30</v>
      </c>
      <c r="I14" s="7">
        <v>100</v>
      </c>
      <c r="J14" s="5">
        <v>186</v>
      </c>
      <c r="K14" s="15">
        <f>L14+186</f>
        <v>186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0.34469696969696967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0.34469696969696967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112</v>
      </c>
      <c r="D16" s="52" t="s">
        <v>121</v>
      </c>
      <c r="E16" s="53" t="s">
        <v>205</v>
      </c>
      <c r="F16" s="30" t="s">
        <v>136</v>
      </c>
      <c r="G16" s="12">
        <v>2</v>
      </c>
      <c r="H16" s="13">
        <v>24</v>
      </c>
      <c r="I16" s="7">
        <v>300</v>
      </c>
      <c r="J16" s="14">
        <v>466</v>
      </c>
      <c r="K16" s="15">
        <f>L16+466</f>
        <v>466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0.34469696969696967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134</v>
      </c>
      <c r="D17" s="52"/>
      <c r="E17" s="53" t="s">
        <v>167</v>
      </c>
      <c r="F17" s="30" t="s">
        <v>168</v>
      </c>
      <c r="G17" s="12">
        <v>5</v>
      </c>
      <c r="H17" s="13">
        <v>24</v>
      </c>
      <c r="I17" s="7">
        <v>200000</v>
      </c>
      <c r="J17" s="14">
        <v>28200</v>
      </c>
      <c r="K17" s="15">
        <f>L17+26370+39325+19755+18405+40885+18620+38310+41130+40940+28200</f>
        <v>311940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0.34469696969696967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527</v>
      </c>
      <c r="F18" s="30" t="s">
        <v>127</v>
      </c>
      <c r="G18" s="33">
        <v>1</v>
      </c>
      <c r="H18" s="35">
        <v>24</v>
      </c>
      <c r="I18" s="7">
        <v>2000</v>
      </c>
      <c r="J18" s="14">
        <v>1636</v>
      </c>
      <c r="K18" s="15">
        <f>L18+1040+466</f>
        <v>3142</v>
      </c>
      <c r="L18" s="15">
        <f>772+864</f>
        <v>1636</v>
      </c>
      <c r="M18" s="15">
        <f t="shared" si="0"/>
        <v>1636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0.34469696969696967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568</v>
      </c>
      <c r="F19" s="30" t="s">
        <v>126</v>
      </c>
      <c r="G19" s="33">
        <v>1</v>
      </c>
      <c r="H19" s="35">
        <v>24</v>
      </c>
      <c r="I19" s="7">
        <v>500</v>
      </c>
      <c r="J19" s="14">
        <v>873</v>
      </c>
      <c r="K19" s="15">
        <f>L19</f>
        <v>873</v>
      </c>
      <c r="L19" s="15">
        <f>745+128</f>
        <v>873</v>
      </c>
      <c r="M19" s="15">
        <f t="shared" si="0"/>
        <v>873</v>
      </c>
      <c r="N19" s="15">
        <v>0</v>
      </c>
      <c r="O19" s="58">
        <f t="shared" si="1"/>
        <v>0</v>
      </c>
      <c r="P19" s="39">
        <f t="shared" si="2"/>
        <v>13</v>
      </c>
      <c r="Q19" s="40">
        <f t="shared" si="3"/>
        <v>11</v>
      </c>
      <c r="R19" s="7"/>
      <c r="S19" s="6"/>
      <c r="T19" s="16"/>
      <c r="U19" s="16"/>
      <c r="V19" s="17"/>
      <c r="W19" s="5">
        <v>11</v>
      </c>
      <c r="X19" s="16"/>
      <c r="Y19" s="16"/>
      <c r="Z19" s="16"/>
      <c r="AA19" s="18"/>
      <c r="AB19" s="8">
        <f t="shared" si="4"/>
        <v>1</v>
      </c>
      <c r="AC19" s="9">
        <f t="shared" si="5"/>
        <v>0.54166666666666663</v>
      </c>
      <c r="AD19" s="10">
        <f t="shared" si="6"/>
        <v>0.54166666666666663</v>
      </c>
      <c r="AE19" s="36">
        <f t="shared" si="7"/>
        <v>0.34469696969696967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153</v>
      </c>
      <c r="F20" s="30" t="s">
        <v>278</v>
      </c>
      <c r="G20" s="12">
        <v>2</v>
      </c>
      <c r="H20" s="13">
        <v>24</v>
      </c>
      <c r="I20" s="7">
        <v>50000</v>
      </c>
      <c r="J20" s="14">
        <v>8280</v>
      </c>
      <c r="K20" s="15">
        <f>L20</f>
        <v>8280</v>
      </c>
      <c r="L20" s="15">
        <f>1556*2+2584*2</f>
        <v>8280</v>
      </c>
      <c r="M20" s="15">
        <f t="shared" si="0"/>
        <v>8280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0.34469696969696967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54948</v>
      </c>
      <c r="K21" s="15">
        <f>L21+50740+61508+62116+62068+58848+54656+61696+61724+33064+28160+54396+62000+61828+61480+59956+61580+19568</f>
        <v>970336</v>
      </c>
      <c r="L21" s="15">
        <f>5816*4+7921*4</f>
        <v>54948</v>
      </c>
      <c r="M21" s="15">
        <f t="shared" si="0"/>
        <v>54948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0.34469696969696967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0.34469696969696967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0.34469696969696967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0.34469696969696967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0.34469696969696967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0.34469696969696967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</f>
        <v>4154464</v>
      </c>
      <c r="L27" s="15">
        <f>7000*32+4500*32</f>
        <v>368000</v>
      </c>
      <c r="M27" s="15">
        <f t="shared" si="0"/>
        <v>368000</v>
      </c>
      <c r="N27" s="15">
        <v>0</v>
      </c>
      <c r="O27" s="58">
        <f t="shared" si="1"/>
        <v>0</v>
      </c>
      <c r="P27" s="39">
        <f t="shared" si="2"/>
        <v>20</v>
      </c>
      <c r="Q27" s="40">
        <f t="shared" si="3"/>
        <v>4</v>
      </c>
      <c r="R27" s="7"/>
      <c r="S27" s="6"/>
      <c r="T27" s="16"/>
      <c r="U27" s="16"/>
      <c r="V27" s="120"/>
      <c r="W27" s="5">
        <v>4</v>
      </c>
      <c r="X27" s="16"/>
      <c r="Y27" s="16"/>
      <c r="Z27" s="16"/>
      <c r="AA27" s="18"/>
      <c r="AB27" s="8">
        <f t="shared" si="4"/>
        <v>1</v>
      </c>
      <c r="AC27" s="9">
        <f t="shared" si="5"/>
        <v>0.83333333333333337</v>
      </c>
      <c r="AD27" s="10">
        <f t="shared" si="6"/>
        <v>0.83333333333333337</v>
      </c>
      <c r="AE27" s="36">
        <f t="shared" si="7"/>
        <v>0.34469696969696967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4199900</v>
      </c>
      <c r="J28" s="19">
        <f t="shared" si="9"/>
        <v>557183</v>
      </c>
      <c r="K28" s="20">
        <f t="shared" si="9"/>
        <v>6467954</v>
      </c>
      <c r="L28" s="21">
        <f t="shared" si="9"/>
        <v>463614</v>
      </c>
      <c r="M28" s="20">
        <f t="shared" si="9"/>
        <v>463614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182</v>
      </c>
      <c r="Q28" s="43">
        <f t="shared" si="10"/>
        <v>346</v>
      </c>
      <c r="R28" s="23">
        <f t="shared" si="10"/>
        <v>0</v>
      </c>
      <c r="S28" s="24">
        <f t="shared" si="10"/>
        <v>43</v>
      </c>
      <c r="T28" s="24">
        <f t="shared" si="10"/>
        <v>0</v>
      </c>
      <c r="U28" s="24">
        <f t="shared" si="10"/>
        <v>0</v>
      </c>
      <c r="V28" s="25">
        <f t="shared" si="10"/>
        <v>0</v>
      </c>
      <c r="W28" s="26">
        <f t="shared" si="10"/>
        <v>303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0.45</v>
      </c>
      <c r="AC28" s="4">
        <f>AVERAGE(AC6:AC27)</f>
        <v>0.34469696969696967</v>
      </c>
      <c r="AD28" s="4">
        <f>AVERAGE(AD6:AD27)</f>
        <v>0.34469696969696967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580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582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321" t="s">
        <v>46</v>
      </c>
      <c r="D57" s="321" t="s">
        <v>47</v>
      </c>
      <c r="E57" s="321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321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134</v>
      </c>
      <c r="B58" s="507"/>
      <c r="C58" s="323" t="s">
        <v>198</v>
      </c>
      <c r="D58" s="323" t="s">
        <v>115</v>
      </c>
      <c r="E58" s="323" t="s">
        <v>495</v>
      </c>
      <c r="F58" s="504" t="s">
        <v>217</v>
      </c>
      <c r="G58" s="505"/>
      <c r="H58" s="505"/>
      <c r="I58" s="505"/>
      <c r="J58" s="505"/>
      <c r="K58" s="505"/>
      <c r="L58" s="505"/>
      <c r="M58" s="506"/>
      <c r="N58" s="322" t="s">
        <v>134</v>
      </c>
      <c r="O58" s="329" t="s">
        <v>240</v>
      </c>
      <c r="P58" s="518"/>
      <c r="Q58" s="519"/>
      <c r="R58" s="518" t="s">
        <v>583</v>
      </c>
      <c r="S58" s="520"/>
      <c r="T58" s="520"/>
      <c r="U58" s="519"/>
      <c r="V58" s="504" t="s">
        <v>123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323" t="s">
        <v>220</v>
      </c>
      <c r="D59" s="323" t="s">
        <v>115</v>
      </c>
      <c r="E59" s="323" t="s">
        <v>153</v>
      </c>
      <c r="F59" s="504" t="s">
        <v>123</v>
      </c>
      <c r="G59" s="505"/>
      <c r="H59" s="505"/>
      <c r="I59" s="505"/>
      <c r="J59" s="505"/>
      <c r="K59" s="505"/>
      <c r="L59" s="505"/>
      <c r="M59" s="506"/>
      <c r="N59" s="322" t="s">
        <v>112</v>
      </c>
      <c r="O59" s="329" t="s">
        <v>157</v>
      </c>
      <c r="P59" s="518" t="s">
        <v>328</v>
      </c>
      <c r="Q59" s="519"/>
      <c r="R59" s="518" t="s">
        <v>327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323" t="s">
        <v>201</v>
      </c>
      <c r="D60" s="323" t="s">
        <v>202</v>
      </c>
      <c r="E60" s="323" t="s">
        <v>567</v>
      </c>
      <c r="F60" s="504" t="s">
        <v>123</v>
      </c>
      <c r="G60" s="505"/>
      <c r="H60" s="505"/>
      <c r="I60" s="505"/>
      <c r="J60" s="505"/>
      <c r="K60" s="505"/>
      <c r="L60" s="505"/>
      <c r="M60" s="506"/>
      <c r="N60" s="322" t="s">
        <v>112</v>
      </c>
      <c r="O60" s="329" t="s">
        <v>148</v>
      </c>
      <c r="P60" s="518" t="s">
        <v>133</v>
      </c>
      <c r="Q60" s="519"/>
      <c r="R60" s="518" t="s">
        <v>584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112</v>
      </c>
      <c r="B61" s="507"/>
      <c r="C61" s="323" t="s">
        <v>157</v>
      </c>
      <c r="D61" s="323" t="s">
        <v>328</v>
      </c>
      <c r="E61" s="323" t="s">
        <v>327</v>
      </c>
      <c r="F61" s="504" t="s">
        <v>581</v>
      </c>
      <c r="G61" s="505"/>
      <c r="H61" s="505"/>
      <c r="I61" s="505"/>
      <c r="J61" s="505"/>
      <c r="K61" s="505"/>
      <c r="L61" s="505"/>
      <c r="M61" s="506"/>
      <c r="N61" s="322"/>
      <c r="O61" s="329"/>
      <c r="P61" s="518"/>
      <c r="Q61" s="519"/>
      <c r="R61" s="518"/>
      <c r="S61" s="520"/>
      <c r="T61" s="520"/>
      <c r="U61" s="519"/>
      <c r="V61" s="504"/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112</v>
      </c>
      <c r="B62" s="507"/>
      <c r="C62" s="323" t="s">
        <v>190</v>
      </c>
      <c r="D62" s="323" t="s">
        <v>115</v>
      </c>
      <c r="E62" s="323" t="s">
        <v>568</v>
      </c>
      <c r="F62" s="504" t="s">
        <v>123</v>
      </c>
      <c r="G62" s="505"/>
      <c r="H62" s="505"/>
      <c r="I62" s="505"/>
      <c r="J62" s="505"/>
      <c r="K62" s="505"/>
      <c r="L62" s="505"/>
      <c r="M62" s="506"/>
      <c r="N62" s="322"/>
      <c r="O62" s="329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/>
      <c r="B63" s="507"/>
      <c r="C63" s="323"/>
      <c r="D63" s="323"/>
      <c r="E63" s="323"/>
      <c r="F63" s="504"/>
      <c r="G63" s="505"/>
      <c r="H63" s="505"/>
      <c r="I63" s="505"/>
      <c r="J63" s="505"/>
      <c r="K63" s="505"/>
      <c r="L63" s="505"/>
      <c r="M63" s="506"/>
      <c r="N63" s="322"/>
      <c r="O63" s="329"/>
      <c r="P63" s="518"/>
      <c r="Q63" s="519"/>
      <c r="R63" s="518"/>
      <c r="S63" s="520"/>
      <c r="T63" s="520"/>
      <c r="U63" s="519"/>
      <c r="V63" s="504"/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/>
      <c r="B64" s="507"/>
      <c r="C64" s="323"/>
      <c r="D64" s="323"/>
      <c r="E64" s="323"/>
      <c r="F64" s="504"/>
      <c r="G64" s="505"/>
      <c r="H64" s="505"/>
      <c r="I64" s="505"/>
      <c r="J64" s="505"/>
      <c r="K64" s="505"/>
      <c r="L64" s="505"/>
      <c r="M64" s="506"/>
      <c r="N64" s="322"/>
      <c r="O64" s="329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326"/>
      <c r="D65" s="326"/>
      <c r="E65" s="323"/>
      <c r="F65" s="504"/>
      <c r="G65" s="505"/>
      <c r="H65" s="505"/>
      <c r="I65" s="505"/>
      <c r="J65" s="505"/>
      <c r="K65" s="505"/>
      <c r="L65" s="505"/>
      <c r="M65" s="506"/>
      <c r="N65" s="322"/>
      <c r="O65" s="329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326"/>
      <c r="D66" s="326"/>
      <c r="E66" s="323"/>
      <c r="F66" s="504"/>
      <c r="G66" s="505"/>
      <c r="H66" s="505"/>
      <c r="I66" s="505"/>
      <c r="J66" s="505"/>
      <c r="K66" s="505"/>
      <c r="L66" s="505"/>
      <c r="M66" s="506"/>
      <c r="N66" s="322"/>
      <c r="O66" s="329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324"/>
      <c r="D67" s="325"/>
      <c r="E67" s="324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585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327" t="s">
        <v>2</v>
      </c>
      <c r="D69" s="327" t="s">
        <v>37</v>
      </c>
      <c r="E69" s="327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327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116</v>
      </c>
      <c r="D70" s="331"/>
      <c r="E70" s="328" t="s">
        <v>229</v>
      </c>
      <c r="F70" s="488" t="s">
        <v>586</v>
      </c>
      <c r="G70" s="478"/>
      <c r="H70" s="478"/>
      <c r="I70" s="478"/>
      <c r="J70" s="478"/>
      <c r="K70" s="478" t="s">
        <v>592</v>
      </c>
      <c r="L70" s="478"/>
      <c r="M70" s="51" t="s">
        <v>593</v>
      </c>
      <c r="N70" s="489" t="s">
        <v>186</v>
      </c>
      <c r="O70" s="489"/>
      <c r="P70" s="490">
        <v>50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197</v>
      </c>
      <c r="D71" s="331"/>
      <c r="E71" s="328"/>
      <c r="F71" s="488" t="s">
        <v>497</v>
      </c>
      <c r="G71" s="478"/>
      <c r="H71" s="478"/>
      <c r="I71" s="478"/>
      <c r="J71" s="478"/>
      <c r="K71" s="478" t="s">
        <v>211</v>
      </c>
      <c r="L71" s="478"/>
      <c r="M71" s="51" t="s">
        <v>155</v>
      </c>
      <c r="N71" s="489" t="s">
        <v>156</v>
      </c>
      <c r="O71" s="489"/>
      <c r="P71" s="490">
        <v>100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 t="s">
        <v>112</v>
      </c>
      <c r="D72" s="331"/>
      <c r="E72" s="328" t="s">
        <v>202</v>
      </c>
      <c r="F72" s="492" t="s">
        <v>587</v>
      </c>
      <c r="G72" s="493"/>
      <c r="H72" s="493"/>
      <c r="I72" s="493"/>
      <c r="J72" s="494"/>
      <c r="K72" s="478" t="s">
        <v>126</v>
      </c>
      <c r="L72" s="478"/>
      <c r="M72" s="51" t="s">
        <v>227</v>
      </c>
      <c r="N72" s="489" t="s">
        <v>247</v>
      </c>
      <c r="O72" s="489"/>
      <c r="P72" s="490">
        <v>100</v>
      </c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 t="s">
        <v>134</v>
      </c>
      <c r="D73" s="331"/>
      <c r="E73" s="328" t="s">
        <v>590</v>
      </c>
      <c r="F73" s="492" t="s">
        <v>588</v>
      </c>
      <c r="G73" s="493"/>
      <c r="H73" s="493"/>
      <c r="I73" s="493"/>
      <c r="J73" s="494"/>
      <c r="K73" s="478" t="s">
        <v>114</v>
      </c>
      <c r="L73" s="478"/>
      <c r="M73" s="51" t="s">
        <v>227</v>
      </c>
      <c r="N73" s="489" t="s">
        <v>247</v>
      </c>
      <c r="O73" s="489"/>
      <c r="P73" s="490">
        <v>300</v>
      </c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 t="s">
        <v>134</v>
      </c>
      <c r="D74" s="331"/>
      <c r="E74" s="328" t="s">
        <v>591</v>
      </c>
      <c r="F74" s="492" t="s">
        <v>589</v>
      </c>
      <c r="G74" s="493"/>
      <c r="H74" s="493"/>
      <c r="I74" s="493"/>
      <c r="J74" s="494"/>
      <c r="K74" s="478" t="s">
        <v>127</v>
      </c>
      <c r="L74" s="478"/>
      <c r="M74" s="51" t="s">
        <v>227</v>
      </c>
      <c r="N74" s="489" t="s">
        <v>247</v>
      </c>
      <c r="O74" s="489"/>
      <c r="P74" s="490">
        <v>600</v>
      </c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 t="s">
        <v>112</v>
      </c>
      <c r="D75" s="331"/>
      <c r="E75" s="328" t="s">
        <v>121</v>
      </c>
      <c r="F75" s="492" t="s">
        <v>512</v>
      </c>
      <c r="G75" s="493"/>
      <c r="H75" s="493"/>
      <c r="I75" s="493"/>
      <c r="J75" s="494"/>
      <c r="K75" s="478" t="s">
        <v>136</v>
      </c>
      <c r="L75" s="478"/>
      <c r="M75" s="51" t="s">
        <v>155</v>
      </c>
      <c r="N75" s="489" t="s">
        <v>247</v>
      </c>
      <c r="O75" s="489"/>
      <c r="P75" s="490">
        <v>100</v>
      </c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331"/>
      <c r="E76" s="328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331"/>
      <c r="E77" s="328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331"/>
      <c r="E78" s="328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331"/>
      <c r="E79" s="328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594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330" t="s">
        <v>2</v>
      </c>
      <c r="D81" s="330" t="s">
        <v>37</v>
      </c>
      <c r="E81" s="330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332"/>
      <c r="D82" s="332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331"/>
      <c r="D83" s="331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331"/>
      <c r="D84" s="331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331"/>
      <c r="D85" s="331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331"/>
      <c r="D86" s="331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331"/>
      <c r="D87" s="331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331"/>
      <c r="D88" s="331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595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4"/>
      <c r="N91" s="454"/>
      <c r="O91" s="454"/>
      <c r="P91" s="454"/>
      <c r="Q91" s="454"/>
      <c r="R91" s="454"/>
      <c r="S91" s="454"/>
      <c r="T91" s="454"/>
      <c r="U91" s="454"/>
      <c r="V91" s="455"/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3308-A770-4C88-A19B-97FEA58E61F1}">
  <sheetPr>
    <pageSetUpPr fitToPage="1"/>
  </sheetPr>
  <dimension ref="A1:AF93"/>
  <sheetViews>
    <sheetView view="pageBreakPreview" zoomScale="70" zoomScaleNormal="72" zoomScaleSheetLayoutView="70" workbookViewId="0">
      <selection activeCell="J22" sqref="J2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596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345" t="s">
        <v>17</v>
      </c>
      <c r="L5" s="345" t="s">
        <v>18</v>
      </c>
      <c r="M5" s="345" t="s">
        <v>19</v>
      </c>
      <c r="N5" s="34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209</v>
      </c>
      <c r="E6" s="53" t="s">
        <v>492</v>
      </c>
      <c r="F6" s="30" t="s">
        <v>479</v>
      </c>
      <c r="G6" s="12">
        <v>1</v>
      </c>
      <c r="H6" s="13">
        <v>24</v>
      </c>
      <c r="I6" s="31">
        <v>500</v>
      </c>
      <c r="J6" s="14">
        <v>637</v>
      </c>
      <c r="K6" s="15">
        <f>L6+637</f>
        <v>637</v>
      </c>
      <c r="L6" s="15"/>
      <c r="M6" s="15">
        <f t="shared" ref="M6:M27" si="0">L6-N6</f>
        <v>0</v>
      </c>
      <c r="N6" s="15">
        <v>0</v>
      </c>
      <c r="O6" s="58" t="str">
        <f t="shared" ref="O6:O28" si="1">IF(L6=0,"0",N6/L6)</f>
        <v>0</v>
      </c>
      <c r="P6" s="39" t="str">
        <f t="shared" ref="P6:P27" si="2">IF(L6=0,"0",(24-Q6))</f>
        <v>0</v>
      </c>
      <c r="Q6" s="40">
        <f t="shared" ref="Q6:Q27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7" si="4">IF(J6=0,"0",(L6/J6))</f>
        <v>0</v>
      </c>
      <c r="AC6" s="9">
        <f t="shared" ref="AC6:AC27" si="5">IF(P6=0,"0",(P6/24))</f>
        <v>0</v>
      </c>
      <c r="AD6" s="10">
        <f t="shared" ref="AD6:AD27" si="6">AC6*AB6*(1-O6)</f>
        <v>0</v>
      </c>
      <c r="AE6" s="36">
        <f t="shared" ref="AE6:AE27" si="7">$AD$28</f>
        <v>0.28787878787878785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5780</v>
      </c>
      <c r="K7" s="15">
        <f>L7+4540+5413+4776+3810+3773+2780+4786+5910+5528+3614+7707+9828+3822+6888+11032+9113+10064+12756+9446+2965+8390+12796+12772+12708+12736+7762+10491+9936+5780</f>
        <v>221922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0.28787878787878785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134</v>
      </c>
      <c r="D8" s="52" t="s">
        <v>115</v>
      </c>
      <c r="E8" s="53" t="s">
        <v>495</v>
      </c>
      <c r="F8" s="30" t="s">
        <v>135</v>
      </c>
      <c r="G8" s="12">
        <v>2</v>
      </c>
      <c r="H8" s="13">
        <v>24</v>
      </c>
      <c r="I8" s="7">
        <v>10000</v>
      </c>
      <c r="J8" s="14">
        <v>10224</v>
      </c>
      <c r="K8" s="15">
        <f>L8+11592</f>
        <v>21816</v>
      </c>
      <c r="L8" s="15">
        <f>2352*2+2760*2</f>
        <v>10224</v>
      </c>
      <c r="M8" s="15">
        <f t="shared" si="0"/>
        <v>10224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0.28787878787878785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137</v>
      </c>
      <c r="E9" s="53" t="s">
        <v>460</v>
      </c>
      <c r="F9" s="30" t="s">
        <v>480</v>
      </c>
      <c r="G9" s="12">
        <v>1</v>
      </c>
      <c r="H9" s="13">
        <v>24</v>
      </c>
      <c r="I9" s="7">
        <v>8000</v>
      </c>
      <c r="J9" s="14">
        <v>1886</v>
      </c>
      <c r="K9" s="15">
        <f>L9+2971+5225+1886</f>
        <v>10082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0.28787878787878785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328</v>
      </c>
      <c r="E10" s="53" t="s">
        <v>327</v>
      </c>
      <c r="F10" s="30" t="s">
        <v>425</v>
      </c>
      <c r="G10" s="33">
        <v>2</v>
      </c>
      <c r="H10" s="35">
        <v>24</v>
      </c>
      <c r="I10" s="7">
        <v>12000</v>
      </c>
      <c r="J10" s="14">
        <v>7450</v>
      </c>
      <c r="K10" s="15">
        <f>L10+1600</f>
        <v>9050</v>
      </c>
      <c r="L10" s="15">
        <f>3093*2+632*2</f>
        <v>7450</v>
      </c>
      <c r="M10" s="15">
        <f t="shared" si="0"/>
        <v>7450</v>
      </c>
      <c r="N10" s="15">
        <v>0</v>
      </c>
      <c r="O10" s="58">
        <f t="shared" si="1"/>
        <v>0</v>
      </c>
      <c r="P10" s="39">
        <f t="shared" si="2"/>
        <v>18</v>
      </c>
      <c r="Q10" s="40">
        <f t="shared" si="3"/>
        <v>6</v>
      </c>
      <c r="R10" s="7"/>
      <c r="S10" s="6">
        <v>6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0.75</v>
      </c>
      <c r="AD10" s="10">
        <f t="shared" si="6"/>
        <v>0.75</v>
      </c>
      <c r="AE10" s="36">
        <f t="shared" si="7"/>
        <v>0.28787878787878785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202</v>
      </c>
      <c r="E11" s="53" t="s">
        <v>567</v>
      </c>
      <c r="F11" s="30" t="s">
        <v>126</v>
      </c>
      <c r="G11" s="33">
        <v>1</v>
      </c>
      <c r="H11" s="35">
        <v>24</v>
      </c>
      <c r="I11" s="7">
        <v>50000</v>
      </c>
      <c r="J11" s="14">
        <v>13622</v>
      </c>
      <c r="K11" s="15">
        <f>L11+12786</f>
        <v>26408</v>
      </c>
      <c r="L11" s="15">
        <f>3394*2+3417*2</f>
        <v>13622</v>
      </c>
      <c r="M11" s="15">
        <f t="shared" si="0"/>
        <v>13622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0.28787878787878785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134</v>
      </c>
      <c r="D12" s="52" t="s">
        <v>115</v>
      </c>
      <c r="E12" s="53" t="s">
        <v>495</v>
      </c>
      <c r="F12" s="30" t="s">
        <v>135</v>
      </c>
      <c r="G12" s="12">
        <v>2</v>
      </c>
      <c r="H12" s="13">
        <v>22</v>
      </c>
      <c r="I12" s="31">
        <v>10000</v>
      </c>
      <c r="J12" s="5">
        <v>5282</v>
      </c>
      <c r="K12" s="15">
        <f>L12+5282</f>
        <v>5282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0.28787878787878785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134</v>
      </c>
      <c r="D13" s="52"/>
      <c r="E13" s="53" t="s">
        <v>597</v>
      </c>
      <c r="F13" s="30" t="s">
        <v>126</v>
      </c>
      <c r="G13" s="33">
        <v>1</v>
      </c>
      <c r="H13" s="35">
        <v>22</v>
      </c>
      <c r="I13" s="7">
        <v>700</v>
      </c>
      <c r="J13" s="14">
        <v>4759</v>
      </c>
      <c r="K13" s="15">
        <f>L13</f>
        <v>4759</v>
      </c>
      <c r="L13" s="15">
        <f>2369+2390</f>
        <v>4759</v>
      </c>
      <c r="M13" s="15">
        <f t="shared" si="0"/>
        <v>4759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0.28787878787878785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534</v>
      </c>
      <c r="F14" s="30" t="s">
        <v>230</v>
      </c>
      <c r="G14" s="33">
        <v>1</v>
      </c>
      <c r="H14" s="35">
        <v>30</v>
      </c>
      <c r="I14" s="7">
        <v>100</v>
      </c>
      <c r="J14" s="5">
        <v>186</v>
      </c>
      <c r="K14" s="15">
        <f>L14+186</f>
        <v>186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0.28787878787878785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0.28787878787878785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112</v>
      </c>
      <c r="D16" s="52" t="s">
        <v>121</v>
      </c>
      <c r="E16" s="53" t="s">
        <v>205</v>
      </c>
      <c r="F16" s="30" t="s">
        <v>136</v>
      </c>
      <c r="G16" s="12">
        <v>2</v>
      </c>
      <c r="H16" s="13">
        <v>24</v>
      </c>
      <c r="I16" s="7">
        <v>300</v>
      </c>
      <c r="J16" s="14">
        <v>466</v>
      </c>
      <c r="K16" s="15">
        <f>L16+466</f>
        <v>466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0.28787878787878785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598</v>
      </c>
      <c r="D17" s="52" t="s">
        <v>599</v>
      </c>
      <c r="E17" s="53" t="s">
        <v>600</v>
      </c>
      <c r="F17" s="30" t="s">
        <v>601</v>
      </c>
      <c r="G17" s="12">
        <v>3</v>
      </c>
      <c r="H17" s="13">
        <v>24</v>
      </c>
      <c r="I17" s="7">
        <v>20000</v>
      </c>
      <c r="J17" s="14">
        <v>10938</v>
      </c>
      <c r="K17" s="15">
        <f>L17</f>
        <v>10938</v>
      </c>
      <c r="L17" s="15">
        <f>415*3+3231*3</f>
        <v>10938</v>
      </c>
      <c r="M17" s="15">
        <f t="shared" si="0"/>
        <v>10938</v>
      </c>
      <c r="N17" s="15">
        <v>0</v>
      </c>
      <c r="O17" s="58">
        <f t="shared" si="1"/>
        <v>0</v>
      </c>
      <c r="P17" s="39">
        <f t="shared" si="2"/>
        <v>18</v>
      </c>
      <c r="Q17" s="40">
        <f t="shared" si="3"/>
        <v>6</v>
      </c>
      <c r="R17" s="7"/>
      <c r="S17" s="6">
        <v>6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0.75</v>
      </c>
      <c r="AD17" s="10">
        <f t="shared" si="6"/>
        <v>0.75</v>
      </c>
      <c r="AE17" s="36">
        <f t="shared" si="7"/>
        <v>0.28787878787878785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133</v>
      </c>
      <c r="E18" s="53" t="s">
        <v>584</v>
      </c>
      <c r="F18" s="30" t="s">
        <v>127</v>
      </c>
      <c r="G18" s="33">
        <v>2</v>
      </c>
      <c r="H18" s="35">
        <v>24</v>
      </c>
      <c r="I18" s="7">
        <v>47000</v>
      </c>
      <c r="J18" s="14">
        <v>10388</v>
      </c>
      <c r="K18" s="15">
        <f>L18</f>
        <v>10388</v>
      </c>
      <c r="L18" s="15">
        <f>2734*2+2460*2</f>
        <v>10388</v>
      </c>
      <c r="M18" s="15">
        <f t="shared" si="0"/>
        <v>10388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>
        <v>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 t="shared" si="7"/>
        <v>0.28787878787878785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568</v>
      </c>
      <c r="F19" s="30" t="s">
        <v>126</v>
      </c>
      <c r="G19" s="33">
        <v>1</v>
      </c>
      <c r="H19" s="35">
        <v>24</v>
      </c>
      <c r="I19" s="7">
        <v>500</v>
      </c>
      <c r="J19" s="14">
        <v>873</v>
      </c>
      <c r="K19" s="15">
        <f>L19+873</f>
        <v>873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0.28787878787878785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153</v>
      </c>
      <c r="F20" s="30" t="s">
        <v>278</v>
      </c>
      <c r="G20" s="12">
        <v>2</v>
      </c>
      <c r="H20" s="13">
        <v>24</v>
      </c>
      <c r="I20" s="7">
        <v>50000</v>
      </c>
      <c r="J20" s="14">
        <v>8280</v>
      </c>
      <c r="K20" s="15">
        <f>L20+8280</f>
        <v>8280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0.28787878787878785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60520</v>
      </c>
      <c r="K21" s="15">
        <f>L21+50740+61508+62116+62068+58848+54656+61696+61724+33064+28160+54396+62000+61828+61480+59956+61580+19568+54948</f>
        <v>1030856</v>
      </c>
      <c r="L21" s="15">
        <f>7584*4+7546*4</f>
        <v>60520</v>
      </c>
      <c r="M21" s="15">
        <f t="shared" si="0"/>
        <v>60520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0.28787878787878785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0.28787878787878785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0.28787878787878785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0.28787878787878785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0.28787878787878785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0.28787878787878785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0.28787878787878785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4061100</v>
      </c>
      <c r="J28" s="19">
        <f t="shared" si="9"/>
        <v>560423</v>
      </c>
      <c r="K28" s="20">
        <f t="shared" si="9"/>
        <v>6261783</v>
      </c>
      <c r="L28" s="21">
        <f t="shared" si="9"/>
        <v>117901</v>
      </c>
      <c r="M28" s="20">
        <f t="shared" si="9"/>
        <v>117901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152</v>
      </c>
      <c r="Q28" s="43">
        <f t="shared" si="10"/>
        <v>355</v>
      </c>
      <c r="R28" s="23">
        <f t="shared" si="10"/>
        <v>0</v>
      </c>
      <c r="S28" s="24">
        <f t="shared" si="10"/>
        <v>43</v>
      </c>
      <c r="T28" s="24">
        <f t="shared" si="10"/>
        <v>0</v>
      </c>
      <c r="U28" s="24">
        <f t="shared" si="10"/>
        <v>0</v>
      </c>
      <c r="V28" s="25">
        <f t="shared" si="10"/>
        <v>0</v>
      </c>
      <c r="W28" s="26">
        <f t="shared" si="10"/>
        <v>312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0.35</v>
      </c>
      <c r="AC28" s="4">
        <f>AVERAGE(AC6:AC27)</f>
        <v>0.28787878787878785</v>
      </c>
      <c r="AD28" s="4">
        <f>AVERAGE(AD6:AD27)</f>
        <v>0.28787878787878785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602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605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344" t="s">
        <v>46</v>
      </c>
      <c r="D57" s="344" t="s">
        <v>47</v>
      </c>
      <c r="E57" s="344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344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340" t="s">
        <v>186</v>
      </c>
      <c r="D58" s="340" t="s">
        <v>229</v>
      </c>
      <c r="E58" s="340" t="s">
        <v>603</v>
      </c>
      <c r="F58" s="504" t="s">
        <v>378</v>
      </c>
      <c r="G58" s="505"/>
      <c r="H58" s="505"/>
      <c r="I58" s="505"/>
      <c r="J58" s="505"/>
      <c r="K58" s="505"/>
      <c r="L58" s="505"/>
      <c r="M58" s="506"/>
      <c r="N58" s="343" t="s">
        <v>134</v>
      </c>
      <c r="O58" s="337" t="s">
        <v>240</v>
      </c>
      <c r="P58" s="518"/>
      <c r="Q58" s="519"/>
      <c r="R58" s="518" t="s">
        <v>606</v>
      </c>
      <c r="S58" s="520"/>
      <c r="T58" s="520"/>
      <c r="U58" s="519"/>
      <c r="V58" s="504" t="s">
        <v>123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340" t="s">
        <v>148</v>
      </c>
      <c r="D59" s="340" t="s">
        <v>133</v>
      </c>
      <c r="E59" s="340" t="s">
        <v>584</v>
      </c>
      <c r="F59" s="504" t="s">
        <v>267</v>
      </c>
      <c r="G59" s="505"/>
      <c r="H59" s="505"/>
      <c r="I59" s="505"/>
      <c r="J59" s="505"/>
      <c r="K59" s="505"/>
      <c r="L59" s="505"/>
      <c r="M59" s="506"/>
      <c r="N59" s="343" t="s">
        <v>112</v>
      </c>
      <c r="O59" s="337" t="s">
        <v>148</v>
      </c>
      <c r="P59" s="518" t="s">
        <v>133</v>
      </c>
      <c r="Q59" s="519"/>
      <c r="R59" s="518" t="s">
        <v>584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340" t="s">
        <v>157</v>
      </c>
      <c r="D60" s="340" t="s">
        <v>328</v>
      </c>
      <c r="E60" s="340" t="s">
        <v>327</v>
      </c>
      <c r="F60" s="504" t="s">
        <v>217</v>
      </c>
      <c r="G60" s="505"/>
      <c r="H60" s="505"/>
      <c r="I60" s="505"/>
      <c r="J60" s="505"/>
      <c r="K60" s="505"/>
      <c r="L60" s="505"/>
      <c r="M60" s="506"/>
      <c r="N60" s="343" t="s">
        <v>134</v>
      </c>
      <c r="O60" s="337" t="s">
        <v>199</v>
      </c>
      <c r="P60" s="518" t="s">
        <v>607</v>
      </c>
      <c r="Q60" s="519"/>
      <c r="R60" s="518" t="s">
        <v>538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598</v>
      </c>
      <c r="B61" s="507"/>
      <c r="C61" s="340" t="s">
        <v>504</v>
      </c>
      <c r="D61" s="340" t="s">
        <v>599</v>
      </c>
      <c r="E61" s="340" t="s">
        <v>600</v>
      </c>
      <c r="F61" s="504" t="s">
        <v>604</v>
      </c>
      <c r="G61" s="505"/>
      <c r="H61" s="505"/>
      <c r="I61" s="505"/>
      <c r="J61" s="505"/>
      <c r="K61" s="505"/>
      <c r="L61" s="505"/>
      <c r="M61" s="506"/>
      <c r="N61" s="343" t="s">
        <v>112</v>
      </c>
      <c r="O61" s="337" t="s">
        <v>186</v>
      </c>
      <c r="P61" s="518" t="s">
        <v>229</v>
      </c>
      <c r="Q61" s="519"/>
      <c r="R61" s="518" t="s">
        <v>603</v>
      </c>
      <c r="S61" s="520"/>
      <c r="T61" s="520"/>
      <c r="U61" s="519"/>
      <c r="V61" s="504" t="s">
        <v>123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134</v>
      </c>
      <c r="B62" s="507"/>
      <c r="C62" s="340" t="s">
        <v>240</v>
      </c>
      <c r="D62" s="340"/>
      <c r="E62" s="340" t="s">
        <v>583</v>
      </c>
      <c r="F62" s="504" t="s">
        <v>123</v>
      </c>
      <c r="G62" s="505"/>
      <c r="H62" s="505"/>
      <c r="I62" s="505"/>
      <c r="J62" s="505"/>
      <c r="K62" s="505"/>
      <c r="L62" s="505"/>
      <c r="M62" s="506"/>
      <c r="N62" s="343"/>
      <c r="O62" s="337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/>
      <c r="B63" s="507"/>
      <c r="C63" s="340"/>
      <c r="D63" s="340"/>
      <c r="E63" s="340"/>
      <c r="F63" s="504"/>
      <c r="G63" s="505"/>
      <c r="H63" s="505"/>
      <c r="I63" s="505"/>
      <c r="J63" s="505"/>
      <c r="K63" s="505"/>
      <c r="L63" s="505"/>
      <c r="M63" s="506"/>
      <c r="N63" s="343"/>
      <c r="O63" s="337"/>
      <c r="P63" s="518"/>
      <c r="Q63" s="519"/>
      <c r="R63" s="518"/>
      <c r="S63" s="520"/>
      <c r="T63" s="520"/>
      <c r="U63" s="519"/>
      <c r="V63" s="504"/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/>
      <c r="B64" s="507"/>
      <c r="C64" s="340"/>
      <c r="D64" s="340"/>
      <c r="E64" s="340"/>
      <c r="F64" s="504"/>
      <c r="G64" s="505"/>
      <c r="H64" s="505"/>
      <c r="I64" s="505"/>
      <c r="J64" s="505"/>
      <c r="K64" s="505"/>
      <c r="L64" s="505"/>
      <c r="M64" s="506"/>
      <c r="N64" s="343"/>
      <c r="O64" s="337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339"/>
      <c r="D65" s="339"/>
      <c r="E65" s="340"/>
      <c r="F65" s="504"/>
      <c r="G65" s="505"/>
      <c r="H65" s="505"/>
      <c r="I65" s="505"/>
      <c r="J65" s="505"/>
      <c r="K65" s="505"/>
      <c r="L65" s="505"/>
      <c r="M65" s="506"/>
      <c r="N65" s="343"/>
      <c r="O65" s="337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339"/>
      <c r="D66" s="339"/>
      <c r="E66" s="340"/>
      <c r="F66" s="504"/>
      <c r="G66" s="505"/>
      <c r="H66" s="505"/>
      <c r="I66" s="505"/>
      <c r="J66" s="505"/>
      <c r="K66" s="505"/>
      <c r="L66" s="505"/>
      <c r="M66" s="506"/>
      <c r="N66" s="343"/>
      <c r="O66" s="337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341"/>
      <c r="D67" s="342"/>
      <c r="E67" s="341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608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338" t="s">
        <v>2</v>
      </c>
      <c r="D69" s="338" t="s">
        <v>37</v>
      </c>
      <c r="E69" s="338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338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134</v>
      </c>
      <c r="D70" s="333"/>
      <c r="E70" s="336" t="s">
        <v>137</v>
      </c>
      <c r="F70" s="488" t="s">
        <v>609</v>
      </c>
      <c r="G70" s="478"/>
      <c r="H70" s="478"/>
      <c r="I70" s="478"/>
      <c r="J70" s="478"/>
      <c r="K70" s="478" t="s">
        <v>610</v>
      </c>
      <c r="L70" s="478"/>
      <c r="M70" s="51" t="s">
        <v>155</v>
      </c>
      <c r="N70" s="489" t="s">
        <v>156</v>
      </c>
      <c r="O70" s="489"/>
      <c r="P70" s="490">
        <v>100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112</v>
      </c>
      <c r="D71" s="333"/>
      <c r="E71" s="336" t="s">
        <v>115</v>
      </c>
      <c r="F71" s="488" t="s">
        <v>611</v>
      </c>
      <c r="G71" s="478"/>
      <c r="H71" s="478"/>
      <c r="I71" s="478"/>
      <c r="J71" s="478"/>
      <c r="K71" s="478" t="s">
        <v>612</v>
      </c>
      <c r="L71" s="478"/>
      <c r="M71" s="51" t="s">
        <v>613</v>
      </c>
      <c r="N71" s="489" t="s">
        <v>247</v>
      </c>
      <c r="O71" s="489"/>
      <c r="P71" s="490">
        <v>100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/>
      <c r="D72" s="333"/>
      <c r="E72" s="336"/>
      <c r="F72" s="492"/>
      <c r="G72" s="493"/>
      <c r="H72" s="493"/>
      <c r="I72" s="493"/>
      <c r="J72" s="494"/>
      <c r="K72" s="478"/>
      <c r="L72" s="478"/>
      <c r="M72" s="51"/>
      <c r="N72" s="489"/>
      <c r="O72" s="489"/>
      <c r="P72" s="490"/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333"/>
      <c r="E73" s="336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333"/>
      <c r="E74" s="336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333"/>
      <c r="E75" s="336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333"/>
      <c r="E76" s="336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333"/>
      <c r="E77" s="336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333"/>
      <c r="E78" s="336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333"/>
      <c r="E79" s="336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614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335" t="s">
        <v>2</v>
      </c>
      <c r="D81" s="335" t="s">
        <v>37</v>
      </c>
      <c r="E81" s="335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334"/>
      <c r="D82" s="334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333"/>
      <c r="D83" s="333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333"/>
      <c r="D84" s="333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333"/>
      <c r="D85" s="333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333"/>
      <c r="D86" s="333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333"/>
      <c r="D87" s="333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333"/>
      <c r="D88" s="333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615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4"/>
      <c r="N91" s="454"/>
      <c r="O91" s="454"/>
      <c r="P91" s="454"/>
      <c r="Q91" s="454"/>
      <c r="R91" s="454"/>
      <c r="S91" s="454"/>
      <c r="T91" s="454"/>
      <c r="U91" s="454"/>
      <c r="V91" s="455"/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B7CE-064D-44C9-86DA-7F79D36A5DD7}">
  <sheetPr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616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346" t="s">
        <v>17</v>
      </c>
      <c r="L5" s="346" t="s">
        <v>18</v>
      </c>
      <c r="M5" s="346" t="s">
        <v>19</v>
      </c>
      <c r="N5" s="34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229</v>
      </c>
      <c r="E6" s="53" t="s">
        <v>603</v>
      </c>
      <c r="F6" s="30" t="s">
        <v>211</v>
      </c>
      <c r="G6" s="12">
        <v>2</v>
      </c>
      <c r="H6" s="13">
        <v>24</v>
      </c>
      <c r="I6" s="31">
        <v>48000</v>
      </c>
      <c r="J6" s="14">
        <v>6668</v>
      </c>
      <c r="K6" s="15">
        <f>L6</f>
        <v>6668</v>
      </c>
      <c r="L6" s="15">
        <f>662*2+2672*2</f>
        <v>6668</v>
      </c>
      <c r="M6" s="15">
        <f t="shared" ref="M6:M27" si="0">L6-N6</f>
        <v>6668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16</v>
      </c>
      <c r="Q6" s="40">
        <f t="shared" ref="Q6:Q27" si="3">SUM(R6:AA6)</f>
        <v>8</v>
      </c>
      <c r="R6" s="7"/>
      <c r="S6" s="6">
        <v>8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0.66666666666666663</v>
      </c>
      <c r="AD6" s="10">
        <f t="shared" ref="AD6:AD27" si="6">AC6*AB6*(1-O6)</f>
        <v>0.66666666666666663</v>
      </c>
      <c r="AE6" s="36">
        <f t="shared" ref="AE6:AE27" si="7">$AD$28</f>
        <v>0.28598484848484851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137</v>
      </c>
      <c r="E7" s="53" t="s">
        <v>160</v>
      </c>
      <c r="F7" s="30" t="s">
        <v>161</v>
      </c>
      <c r="G7" s="12">
        <v>2</v>
      </c>
      <c r="H7" s="13">
        <v>24</v>
      </c>
      <c r="I7" s="31">
        <v>180000</v>
      </c>
      <c r="J7" s="14">
        <v>5780</v>
      </c>
      <c r="K7" s="15">
        <f>L7+4540+5413+4776+3810+3773+2780+4786+5910+5528+3614+7707+9828+3822+6888+11032+9113+10064+12756+9446+2965+8390+12796+12772+12708+12736+7762+10491+9936+5780</f>
        <v>221922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0.28598484848484851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134</v>
      </c>
      <c r="D8" s="52" t="s">
        <v>115</v>
      </c>
      <c r="E8" s="53" t="s">
        <v>495</v>
      </c>
      <c r="F8" s="30" t="s">
        <v>135</v>
      </c>
      <c r="G8" s="12">
        <v>2</v>
      </c>
      <c r="H8" s="13">
        <v>24</v>
      </c>
      <c r="I8" s="7">
        <v>10000</v>
      </c>
      <c r="J8" s="14">
        <v>10224</v>
      </c>
      <c r="K8" s="15">
        <f>L8+11592+10224</f>
        <v>21816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0.28598484848484851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134</v>
      </c>
      <c r="D9" s="52" t="s">
        <v>607</v>
      </c>
      <c r="E9" s="53" t="s">
        <v>538</v>
      </c>
      <c r="F9" s="30" t="s">
        <v>480</v>
      </c>
      <c r="G9" s="12">
        <v>2</v>
      </c>
      <c r="H9" s="13">
        <v>24</v>
      </c>
      <c r="I9" s="7">
        <v>1000</v>
      </c>
      <c r="J9" s="14">
        <v>1930</v>
      </c>
      <c r="K9" s="15">
        <f>L9</f>
        <v>1930</v>
      </c>
      <c r="L9" s="15">
        <f>965*2</f>
        <v>1930</v>
      </c>
      <c r="M9" s="15">
        <f t="shared" si="0"/>
        <v>1930</v>
      </c>
      <c r="N9" s="15">
        <v>0</v>
      </c>
      <c r="O9" s="58">
        <f t="shared" si="1"/>
        <v>0</v>
      </c>
      <c r="P9" s="39">
        <f t="shared" si="2"/>
        <v>5</v>
      </c>
      <c r="Q9" s="40">
        <f t="shared" si="3"/>
        <v>19</v>
      </c>
      <c r="R9" s="7"/>
      <c r="S9" s="6"/>
      <c r="T9" s="16"/>
      <c r="U9" s="16"/>
      <c r="V9" s="17"/>
      <c r="W9" s="5">
        <v>19</v>
      </c>
      <c r="X9" s="16"/>
      <c r="Y9" s="16"/>
      <c r="Z9" s="16"/>
      <c r="AA9" s="18"/>
      <c r="AB9" s="8">
        <f t="shared" si="4"/>
        <v>1</v>
      </c>
      <c r="AC9" s="9">
        <f t="shared" si="5"/>
        <v>0.20833333333333334</v>
      </c>
      <c r="AD9" s="10">
        <f t="shared" si="6"/>
        <v>0.20833333333333334</v>
      </c>
      <c r="AE9" s="36">
        <f t="shared" si="7"/>
        <v>0.28598484848484851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328</v>
      </c>
      <c r="E10" s="53" t="s">
        <v>327</v>
      </c>
      <c r="F10" s="30" t="s">
        <v>425</v>
      </c>
      <c r="G10" s="33">
        <v>2</v>
      </c>
      <c r="H10" s="35">
        <v>24</v>
      </c>
      <c r="I10" s="7">
        <v>12000</v>
      </c>
      <c r="J10" s="14">
        <v>8614</v>
      </c>
      <c r="K10" s="15">
        <f>L10+1600+7450</f>
        <v>17664</v>
      </c>
      <c r="L10" s="15">
        <f>3222*2+1085*2</f>
        <v>8614</v>
      </c>
      <c r="M10" s="15">
        <f t="shared" si="0"/>
        <v>8614</v>
      </c>
      <c r="N10" s="15">
        <v>0</v>
      </c>
      <c r="O10" s="58">
        <f t="shared" si="1"/>
        <v>0</v>
      </c>
      <c r="P10" s="39">
        <f t="shared" si="2"/>
        <v>18</v>
      </c>
      <c r="Q10" s="40">
        <f t="shared" si="3"/>
        <v>6</v>
      </c>
      <c r="R10" s="7"/>
      <c r="S10" s="6"/>
      <c r="T10" s="16"/>
      <c r="U10" s="16"/>
      <c r="V10" s="17"/>
      <c r="W10" s="5">
        <v>6</v>
      </c>
      <c r="X10" s="16"/>
      <c r="Y10" s="16"/>
      <c r="Z10" s="16"/>
      <c r="AA10" s="18"/>
      <c r="AB10" s="8">
        <f t="shared" si="4"/>
        <v>1</v>
      </c>
      <c r="AC10" s="9">
        <f t="shared" si="5"/>
        <v>0.75</v>
      </c>
      <c r="AD10" s="10">
        <f t="shared" si="6"/>
        <v>0.75</v>
      </c>
      <c r="AE10" s="36">
        <f t="shared" si="7"/>
        <v>0.28598484848484851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202</v>
      </c>
      <c r="E11" s="53" t="s">
        <v>567</v>
      </c>
      <c r="F11" s="30" t="s">
        <v>126</v>
      </c>
      <c r="G11" s="33">
        <v>1</v>
      </c>
      <c r="H11" s="35">
        <v>24</v>
      </c>
      <c r="I11" s="7">
        <v>50000</v>
      </c>
      <c r="J11" s="14">
        <v>14008</v>
      </c>
      <c r="K11" s="15">
        <f>L11+12786+13622</f>
        <v>40416</v>
      </c>
      <c r="L11" s="15">
        <f>3531*2+3473*2</f>
        <v>14008</v>
      </c>
      <c r="M11" s="15">
        <f t="shared" si="0"/>
        <v>14008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0.28598484848484851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134</v>
      </c>
      <c r="D12" s="52" t="s">
        <v>115</v>
      </c>
      <c r="E12" s="53" t="s">
        <v>495</v>
      </c>
      <c r="F12" s="30" t="s">
        <v>135</v>
      </c>
      <c r="G12" s="12">
        <v>2</v>
      </c>
      <c r="H12" s="13">
        <v>22</v>
      </c>
      <c r="I12" s="31">
        <v>10000</v>
      </c>
      <c r="J12" s="5">
        <v>5282</v>
      </c>
      <c r="K12" s="15">
        <f>L12+5282</f>
        <v>5282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0.28598484848484851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134</v>
      </c>
      <c r="D13" s="52"/>
      <c r="E13" s="53" t="s">
        <v>617</v>
      </c>
      <c r="F13" s="30" t="s">
        <v>126</v>
      </c>
      <c r="G13" s="33">
        <v>1</v>
      </c>
      <c r="H13" s="35">
        <v>22</v>
      </c>
      <c r="I13" s="7">
        <v>700</v>
      </c>
      <c r="J13" s="14">
        <v>3081</v>
      </c>
      <c r="K13" s="15">
        <f>L13</f>
        <v>3081</v>
      </c>
      <c r="L13" s="15">
        <f>699+2382</f>
        <v>3081</v>
      </c>
      <c r="M13" s="15">
        <f t="shared" si="0"/>
        <v>3081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6">
        <f t="shared" si="7"/>
        <v>0.28598484848484851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534</v>
      </c>
      <c r="F14" s="30" t="s">
        <v>230</v>
      </c>
      <c r="G14" s="33">
        <v>1</v>
      </c>
      <c r="H14" s="35">
        <v>30</v>
      </c>
      <c r="I14" s="7">
        <v>100</v>
      </c>
      <c r="J14" s="5">
        <v>186</v>
      </c>
      <c r="K14" s="15">
        <f>L14+186</f>
        <v>186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0.28598484848484851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0.28598484848484851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112</v>
      </c>
      <c r="D16" s="52" t="s">
        <v>121</v>
      </c>
      <c r="E16" s="53" t="s">
        <v>205</v>
      </c>
      <c r="F16" s="30" t="s">
        <v>136</v>
      </c>
      <c r="G16" s="12">
        <v>2</v>
      </c>
      <c r="H16" s="13">
        <v>24</v>
      </c>
      <c r="I16" s="7">
        <v>300</v>
      </c>
      <c r="J16" s="14">
        <v>466</v>
      </c>
      <c r="K16" s="15">
        <f>L16+466</f>
        <v>466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0.28598484848484851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598</v>
      </c>
      <c r="D17" s="52" t="s">
        <v>599</v>
      </c>
      <c r="E17" s="53" t="s">
        <v>600</v>
      </c>
      <c r="F17" s="30" t="s">
        <v>601</v>
      </c>
      <c r="G17" s="12">
        <v>3</v>
      </c>
      <c r="H17" s="13">
        <v>24</v>
      </c>
      <c r="I17" s="7">
        <v>20000</v>
      </c>
      <c r="J17" s="14">
        <v>14817</v>
      </c>
      <c r="K17" s="15">
        <f>L17+10938</f>
        <v>25755</v>
      </c>
      <c r="L17" s="15">
        <f>3657*3+1282*3</f>
        <v>14817</v>
      </c>
      <c r="M17" s="15">
        <f t="shared" si="0"/>
        <v>14817</v>
      </c>
      <c r="N17" s="15">
        <v>0</v>
      </c>
      <c r="O17" s="58">
        <f t="shared" si="1"/>
        <v>0</v>
      </c>
      <c r="P17" s="39">
        <f t="shared" si="2"/>
        <v>20</v>
      </c>
      <c r="Q17" s="40">
        <f t="shared" si="3"/>
        <v>4</v>
      </c>
      <c r="R17" s="7"/>
      <c r="S17" s="6">
        <v>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0.83333333333333337</v>
      </c>
      <c r="AD17" s="10">
        <f t="shared" si="6"/>
        <v>0.83333333333333337</v>
      </c>
      <c r="AE17" s="36">
        <f t="shared" si="7"/>
        <v>0.28598484848484851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133</v>
      </c>
      <c r="E18" s="53" t="s">
        <v>584</v>
      </c>
      <c r="F18" s="30" t="s">
        <v>127</v>
      </c>
      <c r="G18" s="33">
        <v>2</v>
      </c>
      <c r="H18" s="35">
        <v>24</v>
      </c>
      <c r="I18" s="7">
        <v>47000</v>
      </c>
      <c r="J18" s="14">
        <v>10388</v>
      </c>
      <c r="K18" s="15">
        <f>L18+10388</f>
        <v>10388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0.28598484848484851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568</v>
      </c>
      <c r="F19" s="30" t="s">
        <v>126</v>
      </c>
      <c r="G19" s="33">
        <v>1</v>
      </c>
      <c r="H19" s="35">
        <v>24</v>
      </c>
      <c r="I19" s="7">
        <v>500</v>
      </c>
      <c r="J19" s="14">
        <v>873</v>
      </c>
      <c r="K19" s="15">
        <f>L19+873</f>
        <v>873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0.28598484848484851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153</v>
      </c>
      <c r="F20" s="30" t="s">
        <v>278</v>
      </c>
      <c r="G20" s="12">
        <v>2</v>
      </c>
      <c r="H20" s="13">
        <v>24</v>
      </c>
      <c r="I20" s="7">
        <v>50000</v>
      </c>
      <c r="J20" s="14">
        <v>9526</v>
      </c>
      <c r="K20" s="15">
        <f>L20+8280</f>
        <v>17806</v>
      </c>
      <c r="L20" s="15">
        <f>2260*2+2503*2</f>
        <v>9526</v>
      </c>
      <c r="M20" s="15">
        <f t="shared" si="0"/>
        <v>9526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0.28598484848484851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62132</v>
      </c>
      <c r="K21" s="15">
        <f>L21+50740+61508+62116+62068+58848+54656+61696+61724+33064+28160+54396+62000+61828+61480+59956+61580+19568+54948</f>
        <v>1032468</v>
      </c>
      <c r="L21" s="15">
        <f>7699*4+7834*4</f>
        <v>62132</v>
      </c>
      <c r="M21" s="15">
        <f t="shared" si="0"/>
        <v>62132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0.28598484848484851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0.28598484848484851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0.28598484848484851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0.28598484848484851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0.28598484848484851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0.28598484848484851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0.28598484848484851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4101600</v>
      </c>
      <c r="J28" s="19">
        <f t="shared" si="9"/>
        <v>573107</v>
      </c>
      <c r="K28" s="20">
        <f t="shared" si="9"/>
        <v>6306561</v>
      </c>
      <c r="L28" s="21">
        <f t="shared" si="9"/>
        <v>120776</v>
      </c>
      <c r="M28" s="20">
        <f t="shared" si="9"/>
        <v>120776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151</v>
      </c>
      <c r="Q28" s="43">
        <f t="shared" si="10"/>
        <v>377</v>
      </c>
      <c r="R28" s="23">
        <f t="shared" si="10"/>
        <v>0</v>
      </c>
      <c r="S28" s="24">
        <f t="shared" si="10"/>
        <v>64</v>
      </c>
      <c r="T28" s="24">
        <f t="shared" si="10"/>
        <v>0</v>
      </c>
      <c r="U28" s="24">
        <f t="shared" si="10"/>
        <v>0</v>
      </c>
      <c r="V28" s="25">
        <f t="shared" si="10"/>
        <v>0</v>
      </c>
      <c r="W28" s="26">
        <f t="shared" si="10"/>
        <v>313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0.4</v>
      </c>
      <c r="AC28" s="4">
        <f>AVERAGE(AC6:AC27)</f>
        <v>0.28598484848484851</v>
      </c>
      <c r="AD28" s="4">
        <f>AVERAGE(AD6:AD27)</f>
        <v>0.28598484848484851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618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620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347" t="s">
        <v>46</v>
      </c>
      <c r="D57" s="347" t="s">
        <v>47</v>
      </c>
      <c r="E57" s="347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347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349" t="s">
        <v>186</v>
      </c>
      <c r="D58" s="349" t="s">
        <v>229</v>
      </c>
      <c r="E58" s="349" t="s">
        <v>603</v>
      </c>
      <c r="F58" s="504" t="s">
        <v>217</v>
      </c>
      <c r="G58" s="505"/>
      <c r="H58" s="505"/>
      <c r="I58" s="505"/>
      <c r="J58" s="505"/>
      <c r="K58" s="505"/>
      <c r="L58" s="505"/>
      <c r="M58" s="506"/>
      <c r="N58" s="348" t="s">
        <v>112</v>
      </c>
      <c r="O58" s="355" t="s">
        <v>240</v>
      </c>
      <c r="P58" s="518" t="s">
        <v>133</v>
      </c>
      <c r="Q58" s="519"/>
      <c r="R58" s="518" t="s">
        <v>621</v>
      </c>
      <c r="S58" s="520"/>
      <c r="T58" s="520"/>
      <c r="U58" s="519"/>
      <c r="V58" s="504" t="s">
        <v>123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349" t="s">
        <v>148</v>
      </c>
      <c r="D59" s="349" t="s">
        <v>133</v>
      </c>
      <c r="E59" s="349" t="s">
        <v>584</v>
      </c>
      <c r="F59" s="504" t="s">
        <v>619</v>
      </c>
      <c r="G59" s="505"/>
      <c r="H59" s="505"/>
      <c r="I59" s="505"/>
      <c r="J59" s="505"/>
      <c r="K59" s="505"/>
      <c r="L59" s="505"/>
      <c r="M59" s="506"/>
      <c r="N59" s="348" t="s">
        <v>112</v>
      </c>
      <c r="O59" s="355" t="s">
        <v>148</v>
      </c>
      <c r="P59" s="518" t="s">
        <v>133</v>
      </c>
      <c r="Q59" s="519"/>
      <c r="R59" s="518" t="s">
        <v>584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598</v>
      </c>
      <c r="B60" s="507"/>
      <c r="C60" s="349" t="s">
        <v>504</v>
      </c>
      <c r="D60" s="349" t="s">
        <v>599</v>
      </c>
      <c r="E60" s="349" t="s">
        <v>600</v>
      </c>
      <c r="F60" s="504" t="s">
        <v>217</v>
      </c>
      <c r="G60" s="505"/>
      <c r="H60" s="505"/>
      <c r="I60" s="505"/>
      <c r="J60" s="505"/>
      <c r="K60" s="505"/>
      <c r="L60" s="505"/>
      <c r="M60" s="506"/>
      <c r="N60" s="348" t="s">
        <v>116</v>
      </c>
      <c r="O60" s="355" t="s">
        <v>199</v>
      </c>
      <c r="P60" s="518" t="s">
        <v>229</v>
      </c>
      <c r="Q60" s="519"/>
      <c r="R60" s="518" t="s">
        <v>622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134</v>
      </c>
      <c r="B61" s="507"/>
      <c r="C61" s="349" t="s">
        <v>240</v>
      </c>
      <c r="D61" s="349"/>
      <c r="E61" s="349" t="s">
        <v>606</v>
      </c>
      <c r="F61" s="504" t="s">
        <v>123</v>
      </c>
      <c r="G61" s="505"/>
      <c r="H61" s="505"/>
      <c r="I61" s="505"/>
      <c r="J61" s="505"/>
      <c r="K61" s="505"/>
      <c r="L61" s="505"/>
      <c r="M61" s="506"/>
      <c r="N61" s="348" t="s">
        <v>112</v>
      </c>
      <c r="O61" s="355" t="s">
        <v>219</v>
      </c>
      <c r="P61" s="518" t="s">
        <v>115</v>
      </c>
      <c r="Q61" s="519"/>
      <c r="R61" s="518" t="s">
        <v>623</v>
      </c>
      <c r="S61" s="520"/>
      <c r="T61" s="520"/>
      <c r="U61" s="519"/>
      <c r="V61" s="504" t="s">
        <v>123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134</v>
      </c>
      <c r="B62" s="507"/>
      <c r="C62" s="349" t="s">
        <v>199</v>
      </c>
      <c r="D62" s="349" t="s">
        <v>300</v>
      </c>
      <c r="E62" s="349" t="s">
        <v>538</v>
      </c>
      <c r="F62" s="504" t="s">
        <v>378</v>
      </c>
      <c r="G62" s="505"/>
      <c r="H62" s="505"/>
      <c r="I62" s="505"/>
      <c r="J62" s="505"/>
      <c r="K62" s="505"/>
      <c r="L62" s="505"/>
      <c r="M62" s="506"/>
      <c r="N62" s="348" t="s">
        <v>112</v>
      </c>
      <c r="O62" s="355" t="s">
        <v>223</v>
      </c>
      <c r="P62" s="518" t="s">
        <v>115</v>
      </c>
      <c r="Q62" s="519"/>
      <c r="R62" s="518" t="s">
        <v>257</v>
      </c>
      <c r="S62" s="520"/>
      <c r="T62" s="520"/>
      <c r="U62" s="519"/>
      <c r="V62" s="504" t="s">
        <v>123</v>
      </c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/>
      <c r="B63" s="507"/>
      <c r="C63" s="349"/>
      <c r="D63" s="349"/>
      <c r="E63" s="349"/>
      <c r="F63" s="504"/>
      <c r="G63" s="505"/>
      <c r="H63" s="505"/>
      <c r="I63" s="505"/>
      <c r="J63" s="505"/>
      <c r="K63" s="505"/>
      <c r="L63" s="505"/>
      <c r="M63" s="506"/>
      <c r="N63" s="348" t="s">
        <v>116</v>
      </c>
      <c r="O63" s="355" t="s">
        <v>190</v>
      </c>
      <c r="P63" s="518" t="s">
        <v>115</v>
      </c>
      <c r="Q63" s="519"/>
      <c r="R63" s="518" t="s">
        <v>624</v>
      </c>
      <c r="S63" s="520"/>
      <c r="T63" s="520"/>
      <c r="U63" s="519"/>
      <c r="V63" s="504" t="s">
        <v>123</v>
      </c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/>
      <c r="B64" s="507"/>
      <c r="C64" s="349"/>
      <c r="D64" s="349"/>
      <c r="E64" s="349"/>
      <c r="F64" s="504"/>
      <c r="G64" s="505"/>
      <c r="H64" s="505"/>
      <c r="I64" s="505"/>
      <c r="J64" s="505"/>
      <c r="K64" s="505"/>
      <c r="L64" s="505"/>
      <c r="M64" s="506"/>
      <c r="N64" s="348"/>
      <c r="O64" s="355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352"/>
      <c r="D65" s="352"/>
      <c r="E65" s="349"/>
      <c r="F65" s="504"/>
      <c r="G65" s="505"/>
      <c r="H65" s="505"/>
      <c r="I65" s="505"/>
      <c r="J65" s="505"/>
      <c r="K65" s="505"/>
      <c r="L65" s="505"/>
      <c r="M65" s="506"/>
      <c r="N65" s="348"/>
      <c r="O65" s="355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352"/>
      <c r="D66" s="352"/>
      <c r="E66" s="349"/>
      <c r="F66" s="504"/>
      <c r="G66" s="505"/>
      <c r="H66" s="505"/>
      <c r="I66" s="505"/>
      <c r="J66" s="505"/>
      <c r="K66" s="505"/>
      <c r="L66" s="505"/>
      <c r="M66" s="506"/>
      <c r="N66" s="348"/>
      <c r="O66" s="355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350"/>
      <c r="D67" s="351"/>
      <c r="E67" s="350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625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353" t="s">
        <v>2</v>
      </c>
      <c r="D69" s="353" t="s">
        <v>37</v>
      </c>
      <c r="E69" s="353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353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116</v>
      </c>
      <c r="D70" s="357"/>
      <c r="E70" s="354" t="s">
        <v>164</v>
      </c>
      <c r="F70" s="488" t="s">
        <v>626</v>
      </c>
      <c r="G70" s="478"/>
      <c r="H70" s="478"/>
      <c r="I70" s="478"/>
      <c r="J70" s="478"/>
      <c r="K70" s="478" t="s">
        <v>136</v>
      </c>
      <c r="L70" s="478"/>
      <c r="M70" s="51" t="s">
        <v>155</v>
      </c>
      <c r="N70" s="489" t="s">
        <v>198</v>
      </c>
      <c r="O70" s="489"/>
      <c r="P70" s="490">
        <v>100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112</v>
      </c>
      <c r="D71" s="357"/>
      <c r="E71" s="354" t="s">
        <v>115</v>
      </c>
      <c r="F71" s="488" t="s">
        <v>627</v>
      </c>
      <c r="G71" s="478"/>
      <c r="H71" s="478"/>
      <c r="I71" s="478"/>
      <c r="J71" s="478"/>
      <c r="K71" s="478" t="s">
        <v>480</v>
      </c>
      <c r="L71" s="478"/>
      <c r="M71" s="51" t="s">
        <v>155</v>
      </c>
      <c r="N71" s="489" t="s">
        <v>198</v>
      </c>
      <c r="O71" s="489"/>
      <c r="P71" s="490">
        <v>50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 t="s">
        <v>116</v>
      </c>
      <c r="D72" s="357"/>
      <c r="E72" s="354" t="s">
        <v>202</v>
      </c>
      <c r="F72" s="492" t="s">
        <v>628</v>
      </c>
      <c r="G72" s="493"/>
      <c r="H72" s="493"/>
      <c r="I72" s="493"/>
      <c r="J72" s="494"/>
      <c r="K72" s="478">
        <v>7301</v>
      </c>
      <c r="L72" s="478"/>
      <c r="M72" s="51" t="s">
        <v>155</v>
      </c>
      <c r="N72" s="489" t="s">
        <v>247</v>
      </c>
      <c r="O72" s="489"/>
      <c r="P72" s="490">
        <v>100</v>
      </c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357"/>
      <c r="E73" s="354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357"/>
      <c r="E74" s="354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357"/>
      <c r="E75" s="354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357"/>
      <c r="E76" s="354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357"/>
      <c r="E77" s="354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357"/>
      <c r="E78" s="354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357"/>
      <c r="E79" s="354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629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356" t="s">
        <v>2</v>
      </c>
      <c r="D81" s="356" t="s">
        <v>37</v>
      </c>
      <c r="E81" s="356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358"/>
      <c r="D82" s="358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357"/>
      <c r="D83" s="357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357"/>
      <c r="D84" s="357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357"/>
      <c r="D85" s="357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357"/>
      <c r="D86" s="357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357"/>
      <c r="D87" s="357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357"/>
      <c r="D88" s="357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630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4"/>
      <c r="N91" s="454"/>
      <c r="O91" s="454"/>
      <c r="P91" s="454"/>
      <c r="Q91" s="454"/>
      <c r="R91" s="454"/>
      <c r="S91" s="454"/>
      <c r="T91" s="454"/>
      <c r="U91" s="454"/>
      <c r="V91" s="455"/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F2C6-2931-4144-93CC-4CE567214815}">
  <sheetPr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631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371" t="s">
        <v>17</v>
      </c>
      <c r="L5" s="371" t="s">
        <v>18</v>
      </c>
      <c r="M5" s="371" t="s">
        <v>19</v>
      </c>
      <c r="N5" s="37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229</v>
      </c>
      <c r="E6" s="53" t="s">
        <v>603</v>
      </c>
      <c r="F6" s="30" t="s">
        <v>211</v>
      </c>
      <c r="G6" s="12">
        <v>2</v>
      </c>
      <c r="H6" s="13">
        <v>24</v>
      </c>
      <c r="I6" s="31">
        <v>48000</v>
      </c>
      <c r="J6" s="14">
        <v>7564</v>
      </c>
      <c r="K6" s="15">
        <f>L6+6668</f>
        <v>14232</v>
      </c>
      <c r="L6" s="15">
        <f>2380*2+1402*2</f>
        <v>7564</v>
      </c>
      <c r="M6" s="15">
        <f t="shared" ref="M6:M27" si="0">L6-N6</f>
        <v>7564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19</v>
      </c>
      <c r="Q6" s="40">
        <f t="shared" ref="Q6:Q27" si="3">SUM(R6:AA6)</f>
        <v>5</v>
      </c>
      <c r="R6" s="7"/>
      <c r="S6" s="6">
        <v>5</v>
      </c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0.79166666666666663</v>
      </c>
      <c r="AD6" s="10">
        <f t="shared" ref="AD6:AD27" si="6">AC6*AB6*(1-O6)</f>
        <v>0.79166666666666663</v>
      </c>
      <c r="AE6" s="36">
        <f t="shared" ref="AE6:AE27" si="7">$AD$28</f>
        <v>0.34090909090909088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134</v>
      </c>
      <c r="D7" s="52" t="s">
        <v>632</v>
      </c>
      <c r="E7" s="53" t="s">
        <v>633</v>
      </c>
      <c r="F7" s="30" t="s">
        <v>610</v>
      </c>
      <c r="G7" s="12">
        <v>2</v>
      </c>
      <c r="H7" s="13">
        <v>24</v>
      </c>
      <c r="I7" s="31">
        <v>1500</v>
      </c>
      <c r="J7" s="14">
        <v>4342</v>
      </c>
      <c r="K7" s="15">
        <f>L7</f>
        <v>4342</v>
      </c>
      <c r="L7" s="15">
        <f>2171*2</f>
        <v>4342</v>
      </c>
      <c r="M7" s="15">
        <f t="shared" si="0"/>
        <v>4342</v>
      </c>
      <c r="N7" s="15">
        <v>0</v>
      </c>
      <c r="O7" s="58">
        <f t="shared" si="1"/>
        <v>0</v>
      </c>
      <c r="P7" s="39">
        <f t="shared" si="2"/>
        <v>16</v>
      </c>
      <c r="Q7" s="40">
        <f t="shared" si="3"/>
        <v>8</v>
      </c>
      <c r="R7" s="7"/>
      <c r="S7" s="6"/>
      <c r="T7" s="16">
        <v>8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0.66666666666666663</v>
      </c>
      <c r="AD7" s="10">
        <f t="shared" si="6"/>
        <v>0.66666666666666663</v>
      </c>
      <c r="AE7" s="36">
        <f t="shared" si="7"/>
        <v>0.34090909090909088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134</v>
      </c>
      <c r="D8" s="52" t="s">
        <v>115</v>
      </c>
      <c r="E8" s="53" t="s">
        <v>495</v>
      </c>
      <c r="F8" s="30" t="s">
        <v>135</v>
      </c>
      <c r="G8" s="12">
        <v>2</v>
      </c>
      <c r="H8" s="13">
        <v>24</v>
      </c>
      <c r="I8" s="7">
        <v>10000</v>
      </c>
      <c r="J8" s="14">
        <v>10224</v>
      </c>
      <c r="K8" s="15">
        <f>L8+11592+10224</f>
        <v>21816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0.34090909090909088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229</v>
      </c>
      <c r="E9" s="53" t="s">
        <v>622</v>
      </c>
      <c r="F9" s="30" t="s">
        <v>127</v>
      </c>
      <c r="G9" s="12">
        <v>1</v>
      </c>
      <c r="H9" s="13">
        <v>24</v>
      </c>
      <c r="I9" s="7">
        <v>1500</v>
      </c>
      <c r="J9" s="14">
        <v>2933</v>
      </c>
      <c r="K9" s="15">
        <f>L9</f>
        <v>2933</v>
      </c>
      <c r="L9" s="15">
        <v>2933</v>
      </c>
      <c r="M9" s="15">
        <f t="shared" si="0"/>
        <v>2933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0.34090909090909088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328</v>
      </c>
      <c r="E10" s="53" t="s">
        <v>327</v>
      </c>
      <c r="F10" s="30" t="s">
        <v>425</v>
      </c>
      <c r="G10" s="33">
        <v>2</v>
      </c>
      <c r="H10" s="35">
        <v>24</v>
      </c>
      <c r="I10" s="7">
        <v>12000</v>
      </c>
      <c r="J10" s="14">
        <v>8614</v>
      </c>
      <c r="K10" s="15">
        <f>L10+1600+7450+8614</f>
        <v>17664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0.34090909090909088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202</v>
      </c>
      <c r="E11" s="53" t="s">
        <v>567</v>
      </c>
      <c r="F11" s="30" t="s">
        <v>126</v>
      </c>
      <c r="G11" s="33">
        <v>1</v>
      </c>
      <c r="H11" s="35">
        <v>24</v>
      </c>
      <c r="I11" s="7">
        <v>50000</v>
      </c>
      <c r="J11" s="14">
        <v>14056</v>
      </c>
      <c r="K11" s="15">
        <f>L11+12786+13622+14008</f>
        <v>54472</v>
      </c>
      <c r="L11" s="15">
        <f>3531*2+3497*2</f>
        <v>14056</v>
      </c>
      <c r="M11" s="15">
        <f t="shared" si="0"/>
        <v>14056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0.34090909090909088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623</v>
      </c>
      <c r="F12" s="30" t="s">
        <v>126</v>
      </c>
      <c r="G12" s="12">
        <v>1</v>
      </c>
      <c r="H12" s="13">
        <v>22</v>
      </c>
      <c r="I12" s="31">
        <v>32000</v>
      </c>
      <c r="J12" s="5">
        <v>2140</v>
      </c>
      <c r="K12" s="15">
        <f>L12</f>
        <v>2140</v>
      </c>
      <c r="L12" s="15">
        <f>440+1700</f>
        <v>2140</v>
      </c>
      <c r="M12" s="15">
        <f t="shared" si="0"/>
        <v>2140</v>
      </c>
      <c r="N12" s="15">
        <v>0</v>
      </c>
      <c r="O12" s="58">
        <f t="shared" si="1"/>
        <v>0</v>
      </c>
      <c r="P12" s="39">
        <f t="shared" si="2"/>
        <v>14</v>
      </c>
      <c r="Q12" s="40">
        <f t="shared" si="3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0.58333333333333337</v>
      </c>
      <c r="AD12" s="10">
        <f t="shared" si="6"/>
        <v>0.58333333333333337</v>
      </c>
      <c r="AE12" s="36">
        <f t="shared" si="7"/>
        <v>0.34090909090909088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133</v>
      </c>
      <c r="E13" s="53" t="s">
        <v>621</v>
      </c>
      <c r="F13" s="30" t="s">
        <v>154</v>
      </c>
      <c r="G13" s="33">
        <v>1</v>
      </c>
      <c r="H13" s="35">
        <v>22</v>
      </c>
      <c r="I13" s="7">
        <f>32000</f>
        <v>32000</v>
      </c>
      <c r="J13" s="14">
        <v>3081</v>
      </c>
      <c r="K13" s="15">
        <f>L13+3081</f>
        <v>3081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0.34090909090909088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257</v>
      </c>
      <c r="F14" s="30" t="s">
        <v>230</v>
      </c>
      <c r="G14" s="33">
        <v>1</v>
      </c>
      <c r="H14" s="35">
        <v>30</v>
      </c>
      <c r="I14" s="7">
        <v>200</v>
      </c>
      <c r="J14" s="5">
        <v>186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0.34090909090909088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0.34090909090909088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134</v>
      </c>
      <c r="D16" s="52" t="s">
        <v>121</v>
      </c>
      <c r="E16" s="53" t="s">
        <v>432</v>
      </c>
      <c r="F16" s="30" t="s">
        <v>127</v>
      </c>
      <c r="G16" s="12">
        <v>1</v>
      </c>
      <c r="H16" s="13">
        <v>24</v>
      </c>
      <c r="I16" s="7">
        <v>2000</v>
      </c>
      <c r="J16" s="14">
        <v>2130</v>
      </c>
      <c r="K16" s="15">
        <f>L16</f>
        <v>2130</v>
      </c>
      <c r="L16" s="15">
        <v>2130</v>
      </c>
      <c r="M16" s="15">
        <f t="shared" si="0"/>
        <v>2130</v>
      </c>
      <c r="N16" s="15">
        <v>0</v>
      </c>
      <c r="O16" s="58">
        <f t="shared" si="1"/>
        <v>0</v>
      </c>
      <c r="P16" s="39">
        <f t="shared" si="2"/>
        <v>11</v>
      </c>
      <c r="Q16" s="40">
        <f t="shared" si="3"/>
        <v>13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13</v>
      </c>
      <c r="AB16" s="8">
        <f t="shared" si="4"/>
        <v>1</v>
      </c>
      <c r="AC16" s="9">
        <f t="shared" si="5"/>
        <v>0.45833333333333331</v>
      </c>
      <c r="AD16" s="10">
        <f t="shared" si="6"/>
        <v>0.45833333333333331</v>
      </c>
      <c r="AE16" s="36">
        <f t="shared" si="7"/>
        <v>0.34090909090909088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598</v>
      </c>
      <c r="D17" s="52" t="s">
        <v>599</v>
      </c>
      <c r="E17" s="53" t="s">
        <v>600</v>
      </c>
      <c r="F17" s="30" t="s">
        <v>601</v>
      </c>
      <c r="G17" s="12">
        <v>3</v>
      </c>
      <c r="H17" s="13">
        <v>24</v>
      </c>
      <c r="I17" s="7">
        <v>20000</v>
      </c>
      <c r="J17" s="14">
        <v>22167</v>
      </c>
      <c r="K17" s="15">
        <f>L17+10938+14817</f>
        <v>47922</v>
      </c>
      <c r="L17" s="15">
        <f>3699*3+3690*3</f>
        <v>22167</v>
      </c>
      <c r="M17" s="15">
        <f t="shared" si="0"/>
        <v>22167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0.34090909090909088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133</v>
      </c>
      <c r="E18" s="53" t="s">
        <v>584</v>
      </c>
      <c r="F18" s="30" t="s">
        <v>127</v>
      </c>
      <c r="G18" s="33">
        <v>1</v>
      </c>
      <c r="H18" s="35">
        <v>24</v>
      </c>
      <c r="I18" s="7">
        <v>47000</v>
      </c>
      <c r="J18" s="14">
        <v>1789</v>
      </c>
      <c r="K18" s="15">
        <f>L18+10388</f>
        <v>12177</v>
      </c>
      <c r="L18" s="15">
        <v>1789</v>
      </c>
      <c r="M18" s="15">
        <f t="shared" si="0"/>
        <v>1789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>
        <v>14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7"/>
        <v>0.34090909090909088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116</v>
      </c>
      <c r="D19" s="52" t="s">
        <v>115</v>
      </c>
      <c r="E19" s="53" t="s">
        <v>624</v>
      </c>
      <c r="F19" s="30" t="s">
        <v>634</v>
      </c>
      <c r="G19" s="33">
        <v>1</v>
      </c>
      <c r="H19" s="35">
        <v>24</v>
      </c>
      <c r="I19" s="7">
        <v>3000</v>
      </c>
      <c r="J19" s="14">
        <v>3352</v>
      </c>
      <c r="K19" s="15">
        <f>L19</f>
        <v>3352</v>
      </c>
      <c r="L19" s="15">
        <f>1142+2210</f>
        <v>3352</v>
      </c>
      <c r="M19" s="15">
        <f t="shared" si="0"/>
        <v>3352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 t="shared" si="7"/>
        <v>0.34090909090909088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153</v>
      </c>
      <c r="F20" s="30" t="s">
        <v>278</v>
      </c>
      <c r="G20" s="12">
        <v>2</v>
      </c>
      <c r="H20" s="13">
        <v>24</v>
      </c>
      <c r="I20" s="7">
        <v>50000</v>
      </c>
      <c r="J20" s="14">
        <v>10142</v>
      </c>
      <c r="K20" s="15">
        <f>L20+8280+9526</f>
        <v>27948</v>
      </c>
      <c r="L20" s="15">
        <f>2530*2+2541*2</f>
        <v>10142</v>
      </c>
      <c r="M20" s="15">
        <f t="shared" si="0"/>
        <v>10142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0.34090909090909088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62132</v>
      </c>
      <c r="K21" s="15">
        <f>L21+50740+61508+62116+62068+58848+54656+61696+61724+33064+28160+54396+62000+61828+61480+59956+61580+19568+54948+62132</f>
        <v>1032468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0.34090909090909088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0.34090909090909088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0.34090909090909088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0.34090909090909088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0.34090909090909088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0.34090909090909088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0.34090909090909088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3981200</v>
      </c>
      <c r="J28" s="19">
        <f t="shared" si="9"/>
        <v>573984</v>
      </c>
      <c r="K28" s="20">
        <f t="shared" si="9"/>
        <v>6146517</v>
      </c>
      <c r="L28" s="21">
        <f t="shared" si="9"/>
        <v>70615</v>
      </c>
      <c r="M28" s="20">
        <f t="shared" si="9"/>
        <v>70615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180</v>
      </c>
      <c r="Q28" s="43">
        <f t="shared" si="10"/>
        <v>328</v>
      </c>
      <c r="R28" s="23">
        <f t="shared" si="10"/>
        <v>0</v>
      </c>
      <c r="S28" s="24">
        <f t="shared" si="10"/>
        <v>67</v>
      </c>
      <c r="T28" s="24">
        <f t="shared" si="10"/>
        <v>8</v>
      </c>
      <c r="U28" s="24">
        <f t="shared" si="10"/>
        <v>0</v>
      </c>
      <c r="V28" s="25">
        <f t="shared" si="10"/>
        <v>24</v>
      </c>
      <c r="W28" s="26">
        <f t="shared" si="10"/>
        <v>216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13</v>
      </c>
      <c r="AB28" s="28">
        <f>AVERAGE(AB6:AB27)</f>
        <v>0.5</v>
      </c>
      <c r="AC28" s="4">
        <f>AVERAGE(AC6:AC27)</f>
        <v>0.34090909090909088</v>
      </c>
      <c r="AD28" s="4">
        <f>AVERAGE(AD6:AD27)</f>
        <v>0.34090909090909088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635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645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370" t="s">
        <v>46</v>
      </c>
      <c r="D57" s="370" t="s">
        <v>47</v>
      </c>
      <c r="E57" s="370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370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366" t="s">
        <v>186</v>
      </c>
      <c r="D58" s="366" t="s">
        <v>229</v>
      </c>
      <c r="E58" s="366" t="s">
        <v>603</v>
      </c>
      <c r="F58" s="504" t="s">
        <v>636</v>
      </c>
      <c r="G58" s="505"/>
      <c r="H58" s="505"/>
      <c r="I58" s="505"/>
      <c r="J58" s="505"/>
      <c r="K58" s="505"/>
      <c r="L58" s="505"/>
      <c r="M58" s="506"/>
      <c r="N58" s="369" t="s">
        <v>112</v>
      </c>
      <c r="O58" s="363" t="s">
        <v>240</v>
      </c>
      <c r="P58" s="518" t="s">
        <v>133</v>
      </c>
      <c r="Q58" s="519"/>
      <c r="R58" s="518" t="s">
        <v>621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366" t="s">
        <v>148</v>
      </c>
      <c r="D59" s="366" t="s">
        <v>133</v>
      </c>
      <c r="E59" s="366" t="s">
        <v>584</v>
      </c>
      <c r="F59" s="504" t="s">
        <v>619</v>
      </c>
      <c r="G59" s="505"/>
      <c r="H59" s="505"/>
      <c r="I59" s="505"/>
      <c r="J59" s="505"/>
      <c r="K59" s="505"/>
      <c r="L59" s="505"/>
      <c r="M59" s="506"/>
      <c r="N59" s="369" t="s">
        <v>112</v>
      </c>
      <c r="O59" s="363" t="s">
        <v>148</v>
      </c>
      <c r="P59" s="518" t="s">
        <v>133</v>
      </c>
      <c r="Q59" s="519"/>
      <c r="R59" s="518" t="s">
        <v>584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116</v>
      </c>
      <c r="B60" s="507"/>
      <c r="C60" s="366" t="s">
        <v>199</v>
      </c>
      <c r="D60" s="366" t="s">
        <v>229</v>
      </c>
      <c r="E60" s="366" t="s">
        <v>622</v>
      </c>
      <c r="F60" s="504" t="s">
        <v>637</v>
      </c>
      <c r="G60" s="505"/>
      <c r="H60" s="505"/>
      <c r="I60" s="505"/>
      <c r="J60" s="505"/>
      <c r="K60" s="505"/>
      <c r="L60" s="505"/>
      <c r="M60" s="506"/>
      <c r="N60" s="369" t="s">
        <v>112</v>
      </c>
      <c r="O60" s="363" t="s">
        <v>223</v>
      </c>
      <c r="P60" s="518" t="s">
        <v>115</v>
      </c>
      <c r="Q60" s="519"/>
      <c r="R60" s="518" t="s">
        <v>257</v>
      </c>
      <c r="S60" s="520"/>
      <c r="T60" s="520"/>
      <c r="U60" s="519"/>
      <c r="V60" s="504" t="s">
        <v>217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116</v>
      </c>
      <c r="B61" s="507"/>
      <c r="C61" s="366" t="s">
        <v>190</v>
      </c>
      <c r="D61" s="366" t="s">
        <v>115</v>
      </c>
      <c r="E61" s="366" t="s">
        <v>624</v>
      </c>
      <c r="F61" s="504" t="s">
        <v>638</v>
      </c>
      <c r="G61" s="505"/>
      <c r="H61" s="505"/>
      <c r="I61" s="505"/>
      <c r="J61" s="505"/>
      <c r="K61" s="505"/>
      <c r="L61" s="505"/>
      <c r="M61" s="506"/>
      <c r="N61" s="369"/>
      <c r="O61" s="363"/>
      <c r="P61" s="518"/>
      <c r="Q61" s="519"/>
      <c r="R61" s="518"/>
      <c r="S61" s="520"/>
      <c r="T61" s="520"/>
      <c r="U61" s="519"/>
      <c r="V61" s="504"/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112</v>
      </c>
      <c r="B62" s="507"/>
      <c r="C62" s="366" t="s">
        <v>219</v>
      </c>
      <c r="D62" s="366" t="s">
        <v>115</v>
      </c>
      <c r="E62" s="366" t="s">
        <v>639</v>
      </c>
      <c r="F62" s="504" t="s">
        <v>637</v>
      </c>
      <c r="G62" s="505"/>
      <c r="H62" s="505"/>
      <c r="I62" s="505"/>
      <c r="J62" s="505"/>
      <c r="K62" s="505"/>
      <c r="L62" s="505"/>
      <c r="M62" s="506"/>
      <c r="N62" s="369"/>
      <c r="O62" s="363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 t="s">
        <v>112</v>
      </c>
      <c r="B63" s="507"/>
      <c r="C63" s="366" t="s">
        <v>240</v>
      </c>
      <c r="D63" s="366" t="s">
        <v>133</v>
      </c>
      <c r="E63" s="366" t="s">
        <v>621</v>
      </c>
      <c r="F63" s="504" t="s">
        <v>640</v>
      </c>
      <c r="G63" s="505"/>
      <c r="H63" s="505"/>
      <c r="I63" s="505"/>
      <c r="J63" s="505"/>
      <c r="K63" s="505"/>
      <c r="L63" s="505"/>
      <c r="M63" s="506"/>
      <c r="N63" s="369"/>
      <c r="O63" s="363"/>
      <c r="P63" s="518"/>
      <c r="Q63" s="519"/>
      <c r="R63" s="518"/>
      <c r="S63" s="520"/>
      <c r="T63" s="520"/>
      <c r="U63" s="519"/>
      <c r="V63" s="504"/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 t="s">
        <v>112</v>
      </c>
      <c r="B64" s="507"/>
      <c r="C64" s="366" t="s">
        <v>223</v>
      </c>
      <c r="D64" s="366" t="s">
        <v>115</v>
      </c>
      <c r="E64" s="366" t="s">
        <v>257</v>
      </c>
      <c r="F64" s="504" t="s">
        <v>641</v>
      </c>
      <c r="G64" s="505"/>
      <c r="H64" s="505"/>
      <c r="I64" s="505"/>
      <c r="J64" s="505"/>
      <c r="K64" s="505"/>
      <c r="L64" s="505"/>
      <c r="M64" s="506"/>
      <c r="N64" s="369"/>
      <c r="O64" s="363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 t="s">
        <v>134</v>
      </c>
      <c r="B65" s="503"/>
      <c r="C65" s="365" t="s">
        <v>156</v>
      </c>
      <c r="D65" s="365" t="s">
        <v>642</v>
      </c>
      <c r="E65" s="366" t="s">
        <v>643</v>
      </c>
      <c r="F65" s="504" t="s">
        <v>123</v>
      </c>
      <c r="G65" s="505"/>
      <c r="H65" s="505"/>
      <c r="I65" s="505"/>
      <c r="J65" s="505"/>
      <c r="K65" s="505"/>
      <c r="L65" s="505"/>
      <c r="M65" s="506"/>
      <c r="N65" s="369"/>
      <c r="O65" s="363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 t="s">
        <v>134</v>
      </c>
      <c r="B66" s="503"/>
      <c r="C66" s="365" t="s">
        <v>247</v>
      </c>
      <c r="D66" s="365" t="s">
        <v>121</v>
      </c>
      <c r="E66" s="366" t="s">
        <v>644</v>
      </c>
      <c r="F66" s="504" t="s">
        <v>123</v>
      </c>
      <c r="G66" s="505"/>
      <c r="H66" s="505"/>
      <c r="I66" s="505"/>
      <c r="J66" s="505"/>
      <c r="K66" s="505"/>
      <c r="L66" s="505"/>
      <c r="M66" s="506"/>
      <c r="N66" s="369"/>
      <c r="O66" s="363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367"/>
      <c r="D67" s="368"/>
      <c r="E67" s="367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646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364" t="s">
        <v>2</v>
      </c>
      <c r="D69" s="364" t="s">
        <v>37</v>
      </c>
      <c r="E69" s="364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364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112</v>
      </c>
      <c r="D70" s="359"/>
      <c r="E70" s="362" t="s">
        <v>229</v>
      </c>
      <c r="F70" s="488" t="s">
        <v>519</v>
      </c>
      <c r="G70" s="478"/>
      <c r="H70" s="478"/>
      <c r="I70" s="478"/>
      <c r="J70" s="478"/>
      <c r="K70" s="478">
        <v>8301</v>
      </c>
      <c r="L70" s="478"/>
      <c r="M70" s="51" t="s">
        <v>155</v>
      </c>
      <c r="N70" s="489" t="s">
        <v>156</v>
      </c>
      <c r="O70" s="489"/>
      <c r="P70" s="490"/>
      <c r="Q70" s="490"/>
      <c r="R70" s="491" t="s">
        <v>650</v>
      </c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112</v>
      </c>
      <c r="D71" s="359"/>
      <c r="E71" s="362" t="s">
        <v>202</v>
      </c>
      <c r="F71" s="488" t="s">
        <v>587</v>
      </c>
      <c r="G71" s="478"/>
      <c r="H71" s="478"/>
      <c r="I71" s="478"/>
      <c r="J71" s="478"/>
      <c r="K71" s="478" t="s">
        <v>126</v>
      </c>
      <c r="L71" s="478"/>
      <c r="M71" s="51" t="s">
        <v>155</v>
      </c>
      <c r="N71" s="489" t="s">
        <v>198</v>
      </c>
      <c r="O71" s="489"/>
      <c r="P71" s="490">
        <v>100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 t="s">
        <v>116</v>
      </c>
      <c r="D72" s="359"/>
      <c r="E72" s="362" t="s">
        <v>115</v>
      </c>
      <c r="F72" s="492" t="s">
        <v>647</v>
      </c>
      <c r="G72" s="493"/>
      <c r="H72" s="493"/>
      <c r="I72" s="493"/>
      <c r="J72" s="494"/>
      <c r="K72" s="478">
        <v>7301</v>
      </c>
      <c r="L72" s="478"/>
      <c r="M72" s="51" t="s">
        <v>155</v>
      </c>
      <c r="N72" s="489" t="s">
        <v>198</v>
      </c>
      <c r="O72" s="489"/>
      <c r="P72" s="490">
        <v>100</v>
      </c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 t="s">
        <v>150</v>
      </c>
      <c r="D73" s="359"/>
      <c r="E73" s="362"/>
      <c r="F73" s="492" t="s">
        <v>648</v>
      </c>
      <c r="G73" s="493"/>
      <c r="H73" s="493"/>
      <c r="I73" s="493"/>
      <c r="J73" s="494"/>
      <c r="K73" s="478" t="s">
        <v>152</v>
      </c>
      <c r="L73" s="478"/>
      <c r="M73" s="51" t="s">
        <v>227</v>
      </c>
      <c r="N73" s="489" t="s">
        <v>247</v>
      </c>
      <c r="O73" s="489"/>
      <c r="P73" s="490">
        <v>2000</v>
      </c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 t="s">
        <v>112</v>
      </c>
      <c r="D74" s="359"/>
      <c r="E74" s="362" t="s">
        <v>133</v>
      </c>
      <c r="F74" s="492" t="s">
        <v>649</v>
      </c>
      <c r="G74" s="493"/>
      <c r="H74" s="493"/>
      <c r="I74" s="493"/>
      <c r="J74" s="494"/>
      <c r="K74" s="478" t="s">
        <v>136</v>
      </c>
      <c r="L74" s="478"/>
      <c r="M74" s="51" t="s">
        <v>155</v>
      </c>
      <c r="N74" s="489" t="s">
        <v>247</v>
      </c>
      <c r="O74" s="489"/>
      <c r="P74" s="490">
        <v>100</v>
      </c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359"/>
      <c r="E75" s="362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359"/>
      <c r="E76" s="362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359"/>
      <c r="E77" s="362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359"/>
      <c r="E78" s="362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359"/>
      <c r="E79" s="362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651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361" t="s">
        <v>2</v>
      </c>
      <c r="D81" s="361" t="s">
        <v>37</v>
      </c>
      <c r="E81" s="361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360"/>
      <c r="D82" s="360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359"/>
      <c r="D83" s="359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359"/>
      <c r="D84" s="359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359"/>
      <c r="D85" s="359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359"/>
      <c r="D86" s="359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359"/>
      <c r="D87" s="359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359"/>
      <c r="D88" s="359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652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4"/>
      <c r="N91" s="454"/>
      <c r="O91" s="454"/>
      <c r="P91" s="454"/>
      <c r="Q91" s="454"/>
      <c r="R91" s="454"/>
      <c r="S91" s="454"/>
      <c r="T91" s="454"/>
      <c r="U91" s="454"/>
      <c r="V91" s="455"/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DB8D-C091-40C7-B371-EA4AC1D5983B}">
  <sheetPr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653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372" t="s">
        <v>17</v>
      </c>
      <c r="L5" s="372" t="s">
        <v>18</v>
      </c>
      <c r="M5" s="372" t="s">
        <v>19</v>
      </c>
      <c r="N5" s="37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229</v>
      </c>
      <c r="E6" s="53" t="s">
        <v>603</v>
      </c>
      <c r="F6" s="30" t="s">
        <v>211</v>
      </c>
      <c r="G6" s="12">
        <v>2</v>
      </c>
      <c r="H6" s="13">
        <v>24</v>
      </c>
      <c r="I6" s="31">
        <v>48000</v>
      </c>
      <c r="J6" s="14">
        <v>10962</v>
      </c>
      <c r="K6" s="15">
        <f>L6+6668+7564</f>
        <v>25194</v>
      </c>
      <c r="L6" s="15">
        <f>2752*2+2729*2</f>
        <v>10962</v>
      </c>
      <c r="M6" s="15">
        <f t="shared" ref="M6:M27" si="0">L6-N6</f>
        <v>10962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 t="shared" ref="AE6:AE27" si="7">$AD$28</f>
        <v>0.34469696969696972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229</v>
      </c>
      <c r="E7" s="53" t="s">
        <v>586</v>
      </c>
      <c r="F7" s="30" t="s">
        <v>592</v>
      </c>
      <c r="G7" s="12">
        <v>1</v>
      </c>
      <c r="H7" s="13">
        <v>24</v>
      </c>
      <c r="I7" s="31">
        <v>1500</v>
      </c>
      <c r="J7" s="14">
        <v>1556</v>
      </c>
      <c r="K7" s="15">
        <f>L7</f>
        <v>1556</v>
      </c>
      <c r="L7" s="15">
        <v>1556</v>
      </c>
      <c r="M7" s="15">
        <f t="shared" si="0"/>
        <v>1556</v>
      </c>
      <c r="N7" s="15">
        <v>0</v>
      </c>
      <c r="O7" s="58">
        <f t="shared" si="1"/>
        <v>0</v>
      </c>
      <c r="P7" s="39">
        <f t="shared" si="2"/>
        <v>8</v>
      </c>
      <c r="Q7" s="40">
        <f t="shared" si="3"/>
        <v>16</v>
      </c>
      <c r="R7" s="7"/>
      <c r="S7" s="6"/>
      <c r="T7" s="16"/>
      <c r="U7" s="16"/>
      <c r="V7" s="17"/>
      <c r="W7" s="5">
        <v>16</v>
      </c>
      <c r="X7" s="16"/>
      <c r="Y7" s="16"/>
      <c r="Z7" s="16"/>
      <c r="AA7" s="18"/>
      <c r="AB7" s="8">
        <f t="shared" si="4"/>
        <v>1</v>
      </c>
      <c r="AC7" s="9">
        <f t="shared" si="5"/>
        <v>0.33333333333333331</v>
      </c>
      <c r="AD7" s="10">
        <f t="shared" si="6"/>
        <v>0.33333333333333331</v>
      </c>
      <c r="AE7" s="36">
        <f t="shared" si="7"/>
        <v>0.34469696969696972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134</v>
      </c>
      <c r="D8" s="52" t="s">
        <v>115</v>
      </c>
      <c r="E8" s="53" t="s">
        <v>495</v>
      </c>
      <c r="F8" s="30" t="s">
        <v>135</v>
      </c>
      <c r="G8" s="12">
        <v>2</v>
      </c>
      <c r="H8" s="13">
        <v>24</v>
      </c>
      <c r="I8" s="7">
        <v>10000</v>
      </c>
      <c r="J8" s="14">
        <v>10224</v>
      </c>
      <c r="K8" s="15">
        <f>L8+11592+10224</f>
        <v>21816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0.34469696969696972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229</v>
      </c>
      <c r="E9" s="53" t="s">
        <v>622</v>
      </c>
      <c r="F9" s="30" t="s">
        <v>127</v>
      </c>
      <c r="G9" s="12">
        <v>1</v>
      </c>
      <c r="H9" s="13">
        <v>24</v>
      </c>
      <c r="I9" s="7">
        <v>1500</v>
      </c>
      <c r="J9" s="14">
        <v>5029</v>
      </c>
      <c r="K9" s="15">
        <f>L9+2933</f>
        <v>7962</v>
      </c>
      <c r="L9" s="15">
        <f>2717+2312</f>
        <v>5029</v>
      </c>
      <c r="M9" s="15">
        <f t="shared" si="0"/>
        <v>5029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0.34469696969696972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300</v>
      </c>
      <c r="E10" s="53" t="s">
        <v>301</v>
      </c>
      <c r="F10" s="30" t="s">
        <v>136</v>
      </c>
      <c r="G10" s="33">
        <v>2</v>
      </c>
      <c r="H10" s="35">
        <v>24</v>
      </c>
      <c r="I10" s="7">
        <v>5000</v>
      </c>
      <c r="J10" s="14">
        <v>5410</v>
      </c>
      <c r="K10" s="15">
        <f>L10</f>
        <v>5410</v>
      </c>
      <c r="L10" s="15">
        <f>799*2+1906*2</f>
        <v>5410</v>
      </c>
      <c r="M10" s="15">
        <f t="shared" si="0"/>
        <v>5410</v>
      </c>
      <c r="N10" s="15">
        <v>0</v>
      </c>
      <c r="O10" s="58">
        <f t="shared" si="1"/>
        <v>0</v>
      </c>
      <c r="P10" s="39">
        <f t="shared" si="2"/>
        <v>11</v>
      </c>
      <c r="Q10" s="40">
        <f t="shared" si="3"/>
        <v>13</v>
      </c>
      <c r="R10" s="7"/>
      <c r="S10" s="6"/>
      <c r="T10" s="16"/>
      <c r="U10" s="16"/>
      <c r="V10" s="17"/>
      <c r="W10" s="5">
        <v>13</v>
      </c>
      <c r="X10" s="16"/>
      <c r="Y10" s="16"/>
      <c r="Z10" s="16"/>
      <c r="AA10" s="18"/>
      <c r="AB10" s="8">
        <f t="shared" si="4"/>
        <v>1</v>
      </c>
      <c r="AC10" s="9">
        <f t="shared" si="5"/>
        <v>0.45833333333333331</v>
      </c>
      <c r="AD10" s="10">
        <f t="shared" si="6"/>
        <v>0.45833333333333331</v>
      </c>
      <c r="AE10" s="36">
        <f t="shared" si="7"/>
        <v>0.34469696969696972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202</v>
      </c>
      <c r="E11" s="53" t="s">
        <v>567</v>
      </c>
      <c r="F11" s="30" t="s">
        <v>126</v>
      </c>
      <c r="G11" s="33">
        <v>1</v>
      </c>
      <c r="H11" s="35">
        <v>24</v>
      </c>
      <c r="I11" s="7">
        <v>50000</v>
      </c>
      <c r="J11" s="14">
        <v>8892</v>
      </c>
      <c r="K11" s="15">
        <f>L11+12786+13622+14008+14056</f>
        <v>63364</v>
      </c>
      <c r="L11" s="15">
        <f>3496*2+950*2</f>
        <v>8892</v>
      </c>
      <c r="M11" s="15">
        <f t="shared" si="0"/>
        <v>8892</v>
      </c>
      <c r="N11" s="15">
        <v>0</v>
      </c>
      <c r="O11" s="58">
        <f t="shared" si="1"/>
        <v>0</v>
      </c>
      <c r="P11" s="39">
        <f t="shared" si="2"/>
        <v>17</v>
      </c>
      <c r="Q11" s="40">
        <f t="shared" si="3"/>
        <v>7</v>
      </c>
      <c r="R11" s="7"/>
      <c r="S11" s="6"/>
      <c r="T11" s="16"/>
      <c r="U11" s="16"/>
      <c r="V11" s="17"/>
      <c r="W11" s="5">
        <v>7</v>
      </c>
      <c r="X11" s="16"/>
      <c r="Y11" s="16"/>
      <c r="Z11" s="16"/>
      <c r="AA11" s="18"/>
      <c r="AB11" s="8">
        <f t="shared" si="4"/>
        <v>1</v>
      </c>
      <c r="AC11" s="9">
        <f t="shared" si="5"/>
        <v>0.70833333333333337</v>
      </c>
      <c r="AD11" s="10">
        <f t="shared" si="6"/>
        <v>0.70833333333333337</v>
      </c>
      <c r="AE11" s="36">
        <f t="shared" si="7"/>
        <v>0.34469696969696972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623</v>
      </c>
      <c r="F12" s="30" t="s">
        <v>126</v>
      </c>
      <c r="G12" s="12">
        <v>1</v>
      </c>
      <c r="H12" s="13">
        <v>22</v>
      </c>
      <c r="I12" s="31">
        <v>32000</v>
      </c>
      <c r="J12" s="5">
        <v>2088</v>
      </c>
      <c r="K12" s="15">
        <f>L12+2140</f>
        <v>4228</v>
      </c>
      <c r="L12" s="15">
        <f>439+1649</f>
        <v>2088</v>
      </c>
      <c r="M12" s="15">
        <f t="shared" si="0"/>
        <v>2088</v>
      </c>
      <c r="N12" s="15">
        <v>0</v>
      </c>
      <c r="O12" s="58">
        <f t="shared" si="1"/>
        <v>0</v>
      </c>
      <c r="P12" s="39">
        <f t="shared" si="2"/>
        <v>11</v>
      </c>
      <c r="Q12" s="40">
        <f t="shared" si="3"/>
        <v>13</v>
      </c>
      <c r="R12" s="7"/>
      <c r="S12" s="6">
        <v>13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0.45833333333333331</v>
      </c>
      <c r="AD12" s="10">
        <f t="shared" si="6"/>
        <v>0.45833333333333331</v>
      </c>
      <c r="AE12" s="36">
        <f t="shared" si="7"/>
        <v>0.34469696969696972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133</v>
      </c>
      <c r="E13" s="53" t="s">
        <v>621</v>
      </c>
      <c r="F13" s="30" t="s">
        <v>154</v>
      </c>
      <c r="G13" s="33">
        <v>1</v>
      </c>
      <c r="H13" s="35">
        <v>22</v>
      </c>
      <c r="I13" s="7">
        <f>32000</f>
        <v>32000</v>
      </c>
      <c r="J13" s="14">
        <v>3081</v>
      </c>
      <c r="K13" s="15">
        <f>L13+3081</f>
        <v>3081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0.34469696969696972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257</v>
      </c>
      <c r="F14" s="30" t="s">
        <v>230</v>
      </c>
      <c r="G14" s="33">
        <v>1</v>
      </c>
      <c r="H14" s="35">
        <v>30</v>
      </c>
      <c r="I14" s="7">
        <v>200</v>
      </c>
      <c r="J14" s="5">
        <v>186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0.34469696969696972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26300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0.34469696969696972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134</v>
      </c>
      <c r="D16" s="52" t="s">
        <v>121</v>
      </c>
      <c r="E16" s="53" t="s">
        <v>432</v>
      </c>
      <c r="F16" s="30" t="s">
        <v>127</v>
      </c>
      <c r="G16" s="12">
        <v>1</v>
      </c>
      <c r="H16" s="13">
        <v>24</v>
      </c>
      <c r="I16" s="7">
        <v>2000</v>
      </c>
      <c r="J16" s="14">
        <v>2130</v>
      </c>
      <c r="K16" s="15">
        <f>L16+2130</f>
        <v>2130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0.34469696969696972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598</v>
      </c>
      <c r="D17" s="52" t="s">
        <v>599</v>
      </c>
      <c r="E17" s="53" t="s">
        <v>600</v>
      </c>
      <c r="F17" s="30" t="s">
        <v>601</v>
      </c>
      <c r="G17" s="12">
        <v>3</v>
      </c>
      <c r="H17" s="13">
        <v>24</v>
      </c>
      <c r="I17" s="7">
        <v>20000</v>
      </c>
      <c r="J17" s="14">
        <v>21804</v>
      </c>
      <c r="K17" s="15">
        <f>L17+10938+14817+22167</f>
        <v>69726</v>
      </c>
      <c r="L17" s="15">
        <f>3680*3+3588*3</f>
        <v>21804</v>
      </c>
      <c r="M17" s="15">
        <f t="shared" si="0"/>
        <v>21804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0.34469696969696972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133</v>
      </c>
      <c r="E18" s="53" t="s">
        <v>584</v>
      </c>
      <c r="F18" s="30" t="s">
        <v>127</v>
      </c>
      <c r="G18" s="33">
        <v>1</v>
      </c>
      <c r="H18" s="35">
        <v>24</v>
      </c>
      <c r="I18" s="7">
        <v>47000</v>
      </c>
      <c r="J18" s="14">
        <v>7588</v>
      </c>
      <c r="K18" s="15">
        <f>L18+10388+1789</f>
        <v>19765</v>
      </c>
      <c r="L18" s="15">
        <f>776*2+3018*2</f>
        <v>7588</v>
      </c>
      <c r="M18" s="15">
        <f t="shared" si="0"/>
        <v>7588</v>
      </c>
      <c r="N18" s="15">
        <v>0</v>
      </c>
      <c r="O18" s="58">
        <f t="shared" si="1"/>
        <v>0</v>
      </c>
      <c r="P18" s="39">
        <f t="shared" si="2"/>
        <v>17</v>
      </c>
      <c r="Q18" s="40">
        <f t="shared" si="3"/>
        <v>7</v>
      </c>
      <c r="R18" s="7"/>
      <c r="S18" s="6">
        <v>7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0.70833333333333337</v>
      </c>
      <c r="AD18" s="10">
        <f t="shared" si="6"/>
        <v>0.70833333333333337</v>
      </c>
      <c r="AE18" s="36">
        <f t="shared" si="7"/>
        <v>0.34469696969696972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116</v>
      </c>
      <c r="D19" s="52" t="s">
        <v>115</v>
      </c>
      <c r="E19" s="53" t="s">
        <v>624</v>
      </c>
      <c r="F19" s="30" t="s">
        <v>634</v>
      </c>
      <c r="G19" s="33">
        <v>1</v>
      </c>
      <c r="H19" s="35">
        <v>24</v>
      </c>
      <c r="I19" s="7">
        <v>3000</v>
      </c>
      <c r="J19" s="14">
        <v>4173</v>
      </c>
      <c r="K19" s="15">
        <f>L19+3352</f>
        <v>7525</v>
      </c>
      <c r="L19" s="15">
        <f>2184+1989</f>
        <v>4173</v>
      </c>
      <c r="M19" s="15">
        <f t="shared" si="0"/>
        <v>4173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0.34469696969696972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153</v>
      </c>
      <c r="F20" s="30" t="s">
        <v>278</v>
      </c>
      <c r="G20" s="12">
        <v>2</v>
      </c>
      <c r="H20" s="13">
        <v>24</v>
      </c>
      <c r="I20" s="7">
        <v>50000</v>
      </c>
      <c r="J20" s="14">
        <v>9444</v>
      </c>
      <c r="K20" s="15">
        <f>L20+8280+9526+10142</f>
        <v>37392</v>
      </c>
      <c r="L20" s="15">
        <f>2523*2+2199*2</f>
        <v>9444</v>
      </c>
      <c r="M20" s="15">
        <f t="shared" si="0"/>
        <v>9444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>
        <v>2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6"/>
        <v>0.91666666666666663</v>
      </c>
      <c r="AE20" s="36">
        <f t="shared" si="7"/>
        <v>0.34469696969696972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62132</v>
      </c>
      <c r="K21" s="15">
        <f>L21+50740+61508+62116+62068+58848+54656+61696+61724+33064+28160+54396+62000+61828+61480+59956+61580+19568+54948+62132</f>
        <v>1032468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0.34469696969696972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0.34469696969696972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0.34469696969696972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0.34469696969696972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0.34469696969696972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0.34469696969696972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0.34469696969696972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3974200</v>
      </c>
      <c r="J28" s="19">
        <f t="shared" si="9"/>
        <v>573831</v>
      </c>
      <c r="K28" s="20">
        <f t="shared" si="9"/>
        <v>6201457</v>
      </c>
      <c r="L28" s="21">
        <f t="shared" si="9"/>
        <v>76946</v>
      </c>
      <c r="M28" s="20">
        <f t="shared" si="9"/>
        <v>76946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182</v>
      </c>
      <c r="Q28" s="43">
        <f t="shared" si="10"/>
        <v>346</v>
      </c>
      <c r="R28" s="23">
        <f t="shared" si="10"/>
        <v>2</v>
      </c>
      <c r="S28" s="24">
        <f t="shared" si="10"/>
        <v>68</v>
      </c>
      <c r="T28" s="24">
        <f t="shared" si="10"/>
        <v>0</v>
      </c>
      <c r="U28" s="24">
        <f t="shared" si="10"/>
        <v>0</v>
      </c>
      <c r="V28" s="25">
        <f t="shared" si="10"/>
        <v>24</v>
      </c>
      <c r="W28" s="26">
        <f t="shared" si="10"/>
        <v>228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24</v>
      </c>
      <c r="AB28" s="28">
        <f>AVERAGE(AB6:AB27)</f>
        <v>0.5</v>
      </c>
      <c r="AC28" s="4">
        <f>AVERAGE(AC6:AC27)</f>
        <v>0.34469696969696972</v>
      </c>
      <c r="AD28" s="4">
        <f>AVERAGE(AD6:AD27)</f>
        <v>0.34469696969696972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654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656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373" t="s">
        <v>46</v>
      </c>
      <c r="D57" s="373" t="s">
        <v>47</v>
      </c>
      <c r="E57" s="373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373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116</v>
      </c>
      <c r="B58" s="507"/>
      <c r="C58" s="375" t="s">
        <v>156</v>
      </c>
      <c r="D58" s="375" t="s">
        <v>229</v>
      </c>
      <c r="E58" s="375" t="s">
        <v>586</v>
      </c>
      <c r="F58" s="504" t="s">
        <v>314</v>
      </c>
      <c r="G58" s="505"/>
      <c r="H58" s="505"/>
      <c r="I58" s="505"/>
      <c r="J58" s="505"/>
      <c r="K58" s="505"/>
      <c r="L58" s="505"/>
      <c r="M58" s="506"/>
      <c r="N58" s="374" t="s">
        <v>112</v>
      </c>
      <c r="O58" s="381" t="s">
        <v>240</v>
      </c>
      <c r="P58" s="518" t="s">
        <v>133</v>
      </c>
      <c r="Q58" s="519"/>
      <c r="R58" s="518" t="s">
        <v>621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375" t="s">
        <v>148</v>
      </c>
      <c r="D59" s="375" t="s">
        <v>133</v>
      </c>
      <c r="E59" s="375" t="s">
        <v>584</v>
      </c>
      <c r="F59" s="504" t="s">
        <v>217</v>
      </c>
      <c r="G59" s="505"/>
      <c r="H59" s="505"/>
      <c r="I59" s="505"/>
      <c r="J59" s="505"/>
      <c r="K59" s="505"/>
      <c r="L59" s="505"/>
      <c r="M59" s="506"/>
      <c r="N59" s="374" t="s">
        <v>112</v>
      </c>
      <c r="O59" s="381" t="s">
        <v>223</v>
      </c>
      <c r="P59" s="518" t="s">
        <v>115</v>
      </c>
      <c r="Q59" s="519"/>
      <c r="R59" s="518" t="s">
        <v>257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375" t="s">
        <v>157</v>
      </c>
      <c r="D60" s="375" t="s">
        <v>300</v>
      </c>
      <c r="E60" s="375" t="s">
        <v>301</v>
      </c>
      <c r="F60" s="504" t="s">
        <v>123</v>
      </c>
      <c r="G60" s="505"/>
      <c r="H60" s="505"/>
      <c r="I60" s="505"/>
      <c r="J60" s="505"/>
      <c r="K60" s="505"/>
      <c r="L60" s="505"/>
      <c r="M60" s="506"/>
      <c r="N60" s="374" t="s">
        <v>112</v>
      </c>
      <c r="O60" s="381" t="s">
        <v>247</v>
      </c>
      <c r="P60" s="518" t="s">
        <v>115</v>
      </c>
      <c r="Q60" s="519"/>
      <c r="R60" s="518" t="s">
        <v>657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112</v>
      </c>
      <c r="B61" s="507"/>
      <c r="C61" s="375" t="s">
        <v>219</v>
      </c>
      <c r="D61" s="375" t="s">
        <v>115</v>
      </c>
      <c r="E61" s="375" t="s">
        <v>639</v>
      </c>
      <c r="F61" s="504" t="s">
        <v>655</v>
      </c>
      <c r="G61" s="505"/>
      <c r="H61" s="505"/>
      <c r="I61" s="505"/>
      <c r="J61" s="505"/>
      <c r="K61" s="505"/>
      <c r="L61" s="505"/>
      <c r="M61" s="506"/>
      <c r="N61" s="374" t="s">
        <v>134</v>
      </c>
      <c r="O61" s="381" t="s">
        <v>198</v>
      </c>
      <c r="P61" s="518" t="s">
        <v>115</v>
      </c>
      <c r="Q61" s="519"/>
      <c r="R61" s="518" t="s">
        <v>495</v>
      </c>
      <c r="S61" s="520"/>
      <c r="T61" s="520"/>
      <c r="U61" s="519"/>
      <c r="V61" s="504" t="s">
        <v>123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112</v>
      </c>
      <c r="B62" s="507"/>
      <c r="C62" s="375" t="s">
        <v>223</v>
      </c>
      <c r="D62" s="375" t="s">
        <v>115</v>
      </c>
      <c r="E62" s="375" t="s">
        <v>257</v>
      </c>
      <c r="F62" s="504" t="s">
        <v>280</v>
      </c>
      <c r="G62" s="505"/>
      <c r="H62" s="505"/>
      <c r="I62" s="505"/>
      <c r="J62" s="505"/>
      <c r="K62" s="505"/>
      <c r="L62" s="505"/>
      <c r="M62" s="506"/>
      <c r="N62" s="374"/>
      <c r="O62" s="381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/>
      <c r="B63" s="507"/>
      <c r="C63" s="375"/>
      <c r="D63" s="375"/>
      <c r="E63" s="375"/>
      <c r="F63" s="504"/>
      <c r="G63" s="505"/>
      <c r="H63" s="505"/>
      <c r="I63" s="505"/>
      <c r="J63" s="505"/>
      <c r="K63" s="505"/>
      <c r="L63" s="505"/>
      <c r="M63" s="506"/>
      <c r="N63" s="374"/>
      <c r="O63" s="381"/>
      <c r="P63" s="518"/>
      <c r="Q63" s="519"/>
      <c r="R63" s="518"/>
      <c r="S63" s="520"/>
      <c r="T63" s="520"/>
      <c r="U63" s="519"/>
      <c r="V63" s="504"/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/>
      <c r="B64" s="507"/>
      <c r="C64" s="375"/>
      <c r="D64" s="375"/>
      <c r="E64" s="375"/>
      <c r="F64" s="504"/>
      <c r="G64" s="505"/>
      <c r="H64" s="505"/>
      <c r="I64" s="505"/>
      <c r="J64" s="505"/>
      <c r="K64" s="505"/>
      <c r="L64" s="505"/>
      <c r="M64" s="506"/>
      <c r="N64" s="374"/>
      <c r="O64" s="381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378"/>
      <c r="D65" s="378"/>
      <c r="E65" s="375"/>
      <c r="F65" s="504"/>
      <c r="G65" s="505"/>
      <c r="H65" s="505"/>
      <c r="I65" s="505"/>
      <c r="J65" s="505"/>
      <c r="K65" s="505"/>
      <c r="L65" s="505"/>
      <c r="M65" s="506"/>
      <c r="N65" s="374"/>
      <c r="O65" s="381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378"/>
      <c r="D66" s="378"/>
      <c r="E66" s="375"/>
      <c r="F66" s="504"/>
      <c r="G66" s="505"/>
      <c r="H66" s="505"/>
      <c r="I66" s="505"/>
      <c r="J66" s="505"/>
      <c r="K66" s="505"/>
      <c r="L66" s="505"/>
      <c r="M66" s="506"/>
      <c r="N66" s="374"/>
      <c r="O66" s="381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376"/>
      <c r="D67" s="377"/>
      <c r="E67" s="376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658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379" t="s">
        <v>2</v>
      </c>
      <c r="D69" s="379" t="s">
        <v>37</v>
      </c>
      <c r="E69" s="379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379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116</v>
      </c>
      <c r="D70" s="383"/>
      <c r="E70" s="380" t="s">
        <v>229</v>
      </c>
      <c r="F70" s="488" t="s">
        <v>586</v>
      </c>
      <c r="G70" s="478"/>
      <c r="H70" s="478"/>
      <c r="I70" s="478"/>
      <c r="J70" s="478"/>
      <c r="K70" s="478" t="s">
        <v>592</v>
      </c>
      <c r="L70" s="478"/>
      <c r="M70" s="51" t="s">
        <v>155</v>
      </c>
      <c r="N70" s="489" t="s">
        <v>156</v>
      </c>
      <c r="O70" s="489"/>
      <c r="P70" s="490">
        <v>20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112</v>
      </c>
      <c r="D71" s="383"/>
      <c r="E71" s="380" t="s">
        <v>323</v>
      </c>
      <c r="F71" s="488" t="s">
        <v>659</v>
      </c>
      <c r="G71" s="478"/>
      <c r="H71" s="478"/>
      <c r="I71" s="478"/>
      <c r="J71" s="478"/>
      <c r="K71" s="478" t="s">
        <v>211</v>
      </c>
      <c r="L71" s="478"/>
      <c r="M71" s="51" t="s">
        <v>155</v>
      </c>
      <c r="N71" s="489" t="s">
        <v>156</v>
      </c>
      <c r="O71" s="489"/>
      <c r="P71" s="490">
        <v>400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 t="s">
        <v>116</v>
      </c>
      <c r="D72" s="383"/>
      <c r="E72" s="380" t="s">
        <v>137</v>
      </c>
      <c r="F72" s="492" t="s">
        <v>660</v>
      </c>
      <c r="G72" s="493"/>
      <c r="H72" s="493"/>
      <c r="I72" s="493"/>
      <c r="J72" s="494"/>
      <c r="K72" s="478" t="s">
        <v>136</v>
      </c>
      <c r="L72" s="478"/>
      <c r="M72" s="51" t="s">
        <v>155</v>
      </c>
      <c r="N72" s="489" t="s">
        <v>247</v>
      </c>
      <c r="O72" s="489"/>
      <c r="P72" s="490">
        <v>100</v>
      </c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383"/>
      <c r="E73" s="380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383"/>
      <c r="E74" s="380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383"/>
      <c r="E75" s="380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383"/>
      <c r="E76" s="380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383"/>
      <c r="E77" s="380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383"/>
      <c r="E78" s="380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383"/>
      <c r="E79" s="380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661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382" t="s">
        <v>2</v>
      </c>
      <c r="D81" s="382" t="s">
        <v>37</v>
      </c>
      <c r="E81" s="382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384"/>
      <c r="D82" s="384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383"/>
      <c r="D83" s="383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383"/>
      <c r="D84" s="383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383"/>
      <c r="D85" s="383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383"/>
      <c r="D86" s="383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383"/>
      <c r="D87" s="383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383"/>
      <c r="D88" s="383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662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4"/>
      <c r="N91" s="454"/>
      <c r="O91" s="454"/>
      <c r="P91" s="454"/>
      <c r="Q91" s="454"/>
      <c r="R91" s="454"/>
      <c r="S91" s="454"/>
      <c r="T91" s="454"/>
      <c r="U91" s="454"/>
      <c r="V91" s="455"/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0567-D733-4A4C-BEC2-C7AE63BBE9F9}">
  <sheetPr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663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397" t="s">
        <v>17</v>
      </c>
      <c r="L5" s="397" t="s">
        <v>18</v>
      </c>
      <c r="M5" s="397" t="s">
        <v>19</v>
      </c>
      <c r="N5" s="39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229</v>
      </c>
      <c r="E6" s="53" t="s">
        <v>603</v>
      </c>
      <c r="F6" s="30" t="s">
        <v>211</v>
      </c>
      <c r="G6" s="12">
        <v>2</v>
      </c>
      <c r="H6" s="13">
        <v>24</v>
      </c>
      <c r="I6" s="31">
        <v>48000</v>
      </c>
      <c r="J6" s="14">
        <v>11122</v>
      </c>
      <c r="K6" s="15">
        <f>L6+6668+7564+10962</f>
        <v>36316</v>
      </c>
      <c r="L6" s="15">
        <f>2862*2+2699*2</f>
        <v>11122</v>
      </c>
      <c r="M6" s="15">
        <f t="shared" ref="M6:M27" si="0">L6-N6</f>
        <v>11122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 t="shared" ref="AE6:AE27" si="7">$AD$28</f>
        <v>0.27652301562336162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229</v>
      </c>
      <c r="E7" s="53" t="s">
        <v>586</v>
      </c>
      <c r="F7" s="30" t="s">
        <v>592</v>
      </c>
      <c r="G7" s="12">
        <v>1</v>
      </c>
      <c r="H7" s="13">
        <v>24</v>
      </c>
      <c r="I7" s="31">
        <v>1500</v>
      </c>
      <c r="J7" s="14">
        <v>1556</v>
      </c>
      <c r="K7" s="15">
        <f>L7+1556</f>
        <v>1556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0.27652301562336162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134</v>
      </c>
      <c r="D8" s="52" t="s">
        <v>115</v>
      </c>
      <c r="E8" s="53" t="s">
        <v>495</v>
      </c>
      <c r="F8" s="30" t="s">
        <v>135</v>
      </c>
      <c r="G8" s="12">
        <v>2</v>
      </c>
      <c r="H8" s="13">
        <v>24</v>
      </c>
      <c r="I8" s="7">
        <v>20000</v>
      </c>
      <c r="J8" s="14">
        <v>11212</v>
      </c>
      <c r="K8" s="15">
        <f>L8</f>
        <v>11212</v>
      </c>
      <c r="L8" s="15">
        <f>2978*2+2628*2</f>
        <v>11212</v>
      </c>
      <c r="M8" s="15">
        <f t="shared" si="0"/>
        <v>11212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0.27652301562336162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229</v>
      </c>
      <c r="E9" s="53" t="s">
        <v>622</v>
      </c>
      <c r="F9" s="30" t="s">
        <v>127</v>
      </c>
      <c r="G9" s="12">
        <v>1</v>
      </c>
      <c r="H9" s="13">
        <v>24</v>
      </c>
      <c r="I9" s="7">
        <v>1500</v>
      </c>
      <c r="J9" s="14">
        <v>5029</v>
      </c>
      <c r="K9" s="15">
        <f>L9+2933+5029</f>
        <v>7962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0.27652301562336162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300</v>
      </c>
      <c r="E10" s="53" t="s">
        <v>301</v>
      </c>
      <c r="F10" s="30" t="s">
        <v>136</v>
      </c>
      <c r="G10" s="33">
        <v>2</v>
      </c>
      <c r="H10" s="35">
        <v>24</v>
      </c>
      <c r="I10" s="7">
        <v>5000</v>
      </c>
      <c r="J10" s="14">
        <v>5410</v>
      </c>
      <c r="K10" s="15">
        <f>L10+5410</f>
        <v>5410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0.27652301562336162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202</v>
      </c>
      <c r="E11" s="53" t="s">
        <v>567</v>
      </c>
      <c r="F11" s="30" t="s">
        <v>126</v>
      </c>
      <c r="G11" s="33">
        <v>1</v>
      </c>
      <c r="H11" s="35">
        <v>24</v>
      </c>
      <c r="I11" s="7">
        <v>50000</v>
      </c>
      <c r="J11" s="14">
        <v>8892</v>
      </c>
      <c r="K11" s="15">
        <f>L11+12786+13622+14008+14056+8892</f>
        <v>63364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0.27652301562336162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623</v>
      </c>
      <c r="F12" s="30" t="s">
        <v>126</v>
      </c>
      <c r="G12" s="12">
        <v>1</v>
      </c>
      <c r="H12" s="13">
        <v>22</v>
      </c>
      <c r="I12" s="31">
        <v>32000</v>
      </c>
      <c r="J12" s="5">
        <v>3960</v>
      </c>
      <c r="K12" s="15">
        <f>L12+2140+2088</f>
        <v>8188</v>
      </c>
      <c r="L12" s="15">
        <f>2050+1910</f>
        <v>3960</v>
      </c>
      <c r="M12" s="15">
        <f t="shared" si="0"/>
        <v>3960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6"/>
        <v>0.91666666666666663</v>
      </c>
      <c r="AE12" s="36">
        <f t="shared" si="7"/>
        <v>0.27652301562336162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133</v>
      </c>
      <c r="E13" s="53" t="s">
        <v>621</v>
      </c>
      <c r="F13" s="30" t="s">
        <v>154</v>
      </c>
      <c r="G13" s="33">
        <v>1</v>
      </c>
      <c r="H13" s="35">
        <v>22</v>
      </c>
      <c r="I13" s="7">
        <f>32000</f>
        <v>32000</v>
      </c>
      <c r="J13" s="14">
        <v>3081</v>
      </c>
      <c r="K13" s="15">
        <f>L13+3081</f>
        <v>3081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0.27652301562336162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257</v>
      </c>
      <c r="F14" s="30" t="s">
        <v>230</v>
      </c>
      <c r="G14" s="33">
        <v>1</v>
      </c>
      <c r="H14" s="35">
        <v>30</v>
      </c>
      <c r="I14" s="7">
        <v>200</v>
      </c>
      <c r="J14" s="5">
        <v>76</v>
      </c>
      <c r="K14" s="15">
        <f>L14</f>
        <v>76</v>
      </c>
      <c r="L14" s="15">
        <v>76</v>
      </c>
      <c r="M14" s="15">
        <f t="shared" si="0"/>
        <v>76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>
        <v>20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6">
        <f t="shared" si="7"/>
        <v>0.27652301562336162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>
        <v>0</v>
      </c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0.27652301562336162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657</v>
      </c>
      <c r="F16" s="30" t="s">
        <v>149</v>
      </c>
      <c r="G16" s="12">
        <v>1</v>
      </c>
      <c r="H16" s="13">
        <v>24</v>
      </c>
      <c r="I16" s="7">
        <v>3200</v>
      </c>
      <c r="J16" s="14">
        <v>5780</v>
      </c>
      <c r="K16" s="15">
        <f>L16</f>
        <v>5781</v>
      </c>
      <c r="L16" s="15">
        <f>2641+3140</f>
        <v>5781</v>
      </c>
      <c r="M16" s="15">
        <f t="shared" si="0"/>
        <v>5781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1.0001730103806228</v>
      </c>
      <c r="AC16" s="9">
        <f t="shared" si="5"/>
        <v>1</v>
      </c>
      <c r="AD16" s="10">
        <f t="shared" si="6"/>
        <v>1.0001730103806228</v>
      </c>
      <c r="AE16" s="36">
        <f t="shared" si="7"/>
        <v>0.27652301562336162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598</v>
      </c>
      <c r="D17" s="52" t="s">
        <v>599</v>
      </c>
      <c r="E17" s="53" t="s">
        <v>600</v>
      </c>
      <c r="F17" s="30" t="s">
        <v>601</v>
      </c>
      <c r="G17" s="12">
        <v>3</v>
      </c>
      <c r="H17" s="13">
        <v>24</v>
      </c>
      <c r="I17" s="7">
        <v>20000</v>
      </c>
      <c r="J17" s="14">
        <v>13686</v>
      </c>
      <c r="K17" s="15">
        <f>L17+10938+14817+22167+21804</f>
        <v>83412</v>
      </c>
      <c r="L17" s="15">
        <f>3414*3+1148*3</f>
        <v>13686</v>
      </c>
      <c r="M17" s="15">
        <f t="shared" si="0"/>
        <v>13686</v>
      </c>
      <c r="N17" s="15">
        <v>0</v>
      </c>
      <c r="O17" s="58">
        <f t="shared" si="1"/>
        <v>0</v>
      </c>
      <c r="P17" s="39">
        <f t="shared" si="2"/>
        <v>19</v>
      </c>
      <c r="Q17" s="40">
        <f t="shared" si="3"/>
        <v>5</v>
      </c>
      <c r="R17" s="7"/>
      <c r="S17" s="6"/>
      <c r="T17" s="16"/>
      <c r="U17" s="16"/>
      <c r="V17" s="17"/>
      <c r="W17" s="5">
        <v>5</v>
      </c>
      <c r="X17" s="16"/>
      <c r="Y17" s="16"/>
      <c r="Z17" s="16"/>
      <c r="AA17" s="18"/>
      <c r="AB17" s="8">
        <f t="shared" si="4"/>
        <v>1</v>
      </c>
      <c r="AC17" s="9">
        <f t="shared" si="5"/>
        <v>0.79166666666666663</v>
      </c>
      <c r="AD17" s="10">
        <f t="shared" si="6"/>
        <v>0.79166666666666663</v>
      </c>
      <c r="AE17" s="36">
        <f t="shared" si="7"/>
        <v>0.27652301562336162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133</v>
      </c>
      <c r="E18" s="53" t="s">
        <v>584</v>
      </c>
      <c r="F18" s="30" t="s">
        <v>127</v>
      </c>
      <c r="G18" s="33">
        <v>1</v>
      </c>
      <c r="H18" s="35">
        <v>24</v>
      </c>
      <c r="I18" s="7">
        <v>47000</v>
      </c>
      <c r="J18" s="14">
        <v>12212</v>
      </c>
      <c r="K18" s="15">
        <f>L18+10388+1789+7588</f>
        <v>31977</v>
      </c>
      <c r="L18" s="15">
        <f>2986*2+3120*2</f>
        <v>12212</v>
      </c>
      <c r="M18" s="15">
        <f t="shared" si="0"/>
        <v>12212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0.27652301562336162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116</v>
      </c>
      <c r="D19" s="52" t="s">
        <v>115</v>
      </c>
      <c r="E19" s="53" t="s">
        <v>624</v>
      </c>
      <c r="F19" s="30" t="s">
        <v>634</v>
      </c>
      <c r="G19" s="33">
        <v>1</v>
      </c>
      <c r="H19" s="35">
        <v>24</v>
      </c>
      <c r="I19" s="7">
        <v>3000</v>
      </c>
      <c r="J19" s="14">
        <v>4173</v>
      </c>
      <c r="K19" s="15">
        <f>L19+3352+4173</f>
        <v>7525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0.27652301562336162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153</v>
      </c>
      <c r="F20" s="30" t="s">
        <v>278</v>
      </c>
      <c r="G20" s="12">
        <v>2</v>
      </c>
      <c r="H20" s="13">
        <v>24</v>
      </c>
      <c r="I20" s="7">
        <v>50000</v>
      </c>
      <c r="J20" s="14">
        <v>1772</v>
      </c>
      <c r="K20" s="15">
        <f>L20+8280+9526+10142+9444</f>
        <v>39164</v>
      </c>
      <c r="L20" s="15">
        <f>886*2</f>
        <v>1772</v>
      </c>
      <c r="M20" s="15">
        <f t="shared" si="0"/>
        <v>1772</v>
      </c>
      <c r="N20" s="15">
        <v>0</v>
      </c>
      <c r="O20" s="58">
        <f t="shared" si="1"/>
        <v>0</v>
      </c>
      <c r="P20" s="39">
        <f t="shared" si="2"/>
        <v>5</v>
      </c>
      <c r="Q20" s="40">
        <f t="shared" si="3"/>
        <v>19</v>
      </c>
      <c r="R20" s="7"/>
      <c r="S20" s="6"/>
      <c r="T20" s="16"/>
      <c r="U20" s="16"/>
      <c r="V20" s="17"/>
      <c r="W20" s="5">
        <v>19</v>
      </c>
      <c r="X20" s="16"/>
      <c r="Y20" s="16"/>
      <c r="Z20" s="16"/>
      <c r="AA20" s="18"/>
      <c r="AB20" s="8">
        <f t="shared" si="4"/>
        <v>1</v>
      </c>
      <c r="AC20" s="9">
        <f t="shared" si="5"/>
        <v>0.20833333333333334</v>
      </c>
      <c r="AD20" s="10">
        <f t="shared" si="6"/>
        <v>0.20833333333333334</v>
      </c>
      <c r="AE20" s="36">
        <f t="shared" si="7"/>
        <v>0.27652301562336162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62132</v>
      </c>
      <c r="K21" s="15">
        <f>L21+50740+61508+62116+62068+58848+54656+61696+61724+33064+28160+54396+62000+61828+61480+59956+61580+19568+54948+62132</f>
        <v>1032468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0.27652301562336162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0.27652301562336162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0.27652301562336162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0.27652301562336162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0.27652301562336162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0.27652301562336162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0.27652301562336162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3985400</v>
      </c>
      <c r="J28" s="19">
        <f t="shared" si="9"/>
        <v>543001</v>
      </c>
      <c r="K28" s="20">
        <f t="shared" si="9"/>
        <v>6237332</v>
      </c>
      <c r="L28" s="21">
        <f t="shared" si="9"/>
        <v>59821</v>
      </c>
      <c r="M28" s="20">
        <f t="shared" si="9"/>
        <v>59821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146</v>
      </c>
      <c r="Q28" s="43">
        <f t="shared" si="10"/>
        <v>382</v>
      </c>
      <c r="R28" s="23">
        <f t="shared" si="10"/>
        <v>0</v>
      </c>
      <c r="S28" s="24">
        <f t="shared" si="10"/>
        <v>46</v>
      </c>
      <c r="T28" s="24">
        <f t="shared" si="10"/>
        <v>0</v>
      </c>
      <c r="U28" s="24">
        <f t="shared" si="10"/>
        <v>0</v>
      </c>
      <c r="V28" s="25">
        <f t="shared" si="10"/>
        <v>24</v>
      </c>
      <c r="W28" s="26">
        <f t="shared" si="10"/>
        <v>312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0.40000865051903112</v>
      </c>
      <c r="AC28" s="4">
        <f>AVERAGE(AC6:AC27)</f>
        <v>0.27651515151515149</v>
      </c>
      <c r="AD28" s="4">
        <f>AVERAGE(AD6:AD27)</f>
        <v>0.27652301562336162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664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665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396" t="s">
        <v>46</v>
      </c>
      <c r="D57" s="396" t="s">
        <v>47</v>
      </c>
      <c r="E57" s="396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396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134</v>
      </c>
      <c r="B58" s="507"/>
      <c r="C58" s="392" t="s">
        <v>198</v>
      </c>
      <c r="D58" s="392" t="s">
        <v>115</v>
      </c>
      <c r="E58" s="392" t="s">
        <v>495</v>
      </c>
      <c r="F58" s="504" t="s">
        <v>123</v>
      </c>
      <c r="G58" s="505"/>
      <c r="H58" s="505"/>
      <c r="I58" s="505"/>
      <c r="J58" s="505"/>
      <c r="K58" s="505"/>
      <c r="L58" s="505"/>
      <c r="M58" s="506"/>
      <c r="N58" s="395" t="s">
        <v>112</v>
      </c>
      <c r="O58" s="389" t="s">
        <v>240</v>
      </c>
      <c r="P58" s="518" t="s">
        <v>133</v>
      </c>
      <c r="Q58" s="519"/>
      <c r="R58" s="518" t="s">
        <v>621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392" t="s">
        <v>247</v>
      </c>
      <c r="D59" s="392" t="s">
        <v>115</v>
      </c>
      <c r="E59" s="392" t="s">
        <v>657</v>
      </c>
      <c r="F59" s="504" t="s">
        <v>123</v>
      </c>
      <c r="G59" s="505"/>
      <c r="H59" s="505"/>
      <c r="I59" s="505"/>
      <c r="J59" s="505"/>
      <c r="K59" s="505"/>
      <c r="L59" s="505"/>
      <c r="M59" s="506"/>
      <c r="N59" s="395" t="s">
        <v>112</v>
      </c>
      <c r="O59" s="389" t="s">
        <v>223</v>
      </c>
      <c r="P59" s="518" t="s">
        <v>115</v>
      </c>
      <c r="Q59" s="519"/>
      <c r="R59" s="518" t="s">
        <v>257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392" t="s">
        <v>223</v>
      </c>
      <c r="D60" s="392" t="s">
        <v>115</v>
      </c>
      <c r="E60" s="392" t="s">
        <v>257</v>
      </c>
      <c r="F60" s="504" t="s">
        <v>280</v>
      </c>
      <c r="G60" s="505"/>
      <c r="H60" s="505"/>
      <c r="I60" s="505"/>
      <c r="J60" s="505"/>
      <c r="K60" s="505"/>
      <c r="L60" s="505"/>
      <c r="M60" s="506"/>
      <c r="N60" s="395" t="s">
        <v>134</v>
      </c>
      <c r="O60" s="389" t="s">
        <v>220</v>
      </c>
      <c r="P60" s="518" t="s">
        <v>115</v>
      </c>
      <c r="Q60" s="519"/>
      <c r="R60" s="518" t="s">
        <v>666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/>
      <c r="B61" s="507"/>
      <c r="C61" s="392"/>
      <c r="D61" s="392"/>
      <c r="E61" s="392"/>
      <c r="F61" s="504"/>
      <c r="G61" s="505"/>
      <c r="H61" s="505"/>
      <c r="I61" s="505"/>
      <c r="J61" s="505"/>
      <c r="K61" s="505"/>
      <c r="L61" s="505"/>
      <c r="M61" s="506"/>
      <c r="N61" s="395"/>
      <c r="O61" s="389"/>
      <c r="P61" s="518"/>
      <c r="Q61" s="519"/>
      <c r="R61" s="518"/>
      <c r="S61" s="520"/>
      <c r="T61" s="520"/>
      <c r="U61" s="519"/>
      <c r="V61" s="504"/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/>
      <c r="B62" s="507"/>
      <c r="C62" s="392"/>
      <c r="D62" s="392"/>
      <c r="E62" s="392"/>
      <c r="F62" s="504"/>
      <c r="G62" s="505"/>
      <c r="H62" s="505"/>
      <c r="I62" s="505"/>
      <c r="J62" s="505"/>
      <c r="K62" s="505"/>
      <c r="L62" s="505"/>
      <c r="M62" s="506"/>
      <c r="N62" s="395"/>
      <c r="O62" s="389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/>
      <c r="B63" s="507"/>
      <c r="C63" s="392"/>
      <c r="D63" s="392"/>
      <c r="E63" s="392"/>
      <c r="F63" s="504"/>
      <c r="G63" s="505"/>
      <c r="H63" s="505"/>
      <c r="I63" s="505"/>
      <c r="J63" s="505"/>
      <c r="K63" s="505"/>
      <c r="L63" s="505"/>
      <c r="M63" s="506"/>
      <c r="N63" s="395"/>
      <c r="O63" s="389"/>
      <c r="P63" s="518"/>
      <c r="Q63" s="519"/>
      <c r="R63" s="518"/>
      <c r="S63" s="520"/>
      <c r="T63" s="520"/>
      <c r="U63" s="519"/>
      <c r="V63" s="504"/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/>
      <c r="B64" s="507"/>
      <c r="C64" s="392"/>
      <c r="D64" s="392"/>
      <c r="E64" s="392"/>
      <c r="F64" s="504"/>
      <c r="G64" s="505"/>
      <c r="H64" s="505"/>
      <c r="I64" s="505"/>
      <c r="J64" s="505"/>
      <c r="K64" s="505"/>
      <c r="L64" s="505"/>
      <c r="M64" s="506"/>
      <c r="N64" s="395"/>
      <c r="O64" s="389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391"/>
      <c r="D65" s="391"/>
      <c r="E65" s="392"/>
      <c r="F65" s="504"/>
      <c r="G65" s="505"/>
      <c r="H65" s="505"/>
      <c r="I65" s="505"/>
      <c r="J65" s="505"/>
      <c r="K65" s="505"/>
      <c r="L65" s="505"/>
      <c r="M65" s="506"/>
      <c r="N65" s="395"/>
      <c r="O65" s="389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391"/>
      <c r="D66" s="391"/>
      <c r="E66" s="392"/>
      <c r="F66" s="504"/>
      <c r="G66" s="505"/>
      <c r="H66" s="505"/>
      <c r="I66" s="505"/>
      <c r="J66" s="505"/>
      <c r="K66" s="505"/>
      <c r="L66" s="505"/>
      <c r="M66" s="506"/>
      <c r="N66" s="395"/>
      <c r="O66" s="389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393"/>
      <c r="D67" s="394"/>
      <c r="E67" s="393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667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390" t="s">
        <v>2</v>
      </c>
      <c r="D69" s="390" t="s">
        <v>37</v>
      </c>
      <c r="E69" s="390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390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112</v>
      </c>
      <c r="D70" s="385"/>
      <c r="E70" s="388" t="s">
        <v>229</v>
      </c>
      <c r="F70" s="488" t="s">
        <v>519</v>
      </c>
      <c r="G70" s="478"/>
      <c r="H70" s="478"/>
      <c r="I70" s="478"/>
      <c r="J70" s="478"/>
      <c r="K70" s="478">
        <v>8301</v>
      </c>
      <c r="L70" s="478"/>
      <c r="M70" s="51" t="s">
        <v>155</v>
      </c>
      <c r="N70" s="489" t="s">
        <v>156</v>
      </c>
      <c r="O70" s="489"/>
      <c r="P70" s="490"/>
      <c r="Q70" s="490"/>
      <c r="R70" s="491" t="s">
        <v>668</v>
      </c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/>
      <c r="D71" s="385"/>
      <c r="E71" s="388"/>
      <c r="F71" s="488"/>
      <c r="G71" s="478"/>
      <c r="H71" s="478"/>
      <c r="I71" s="478"/>
      <c r="J71" s="478"/>
      <c r="K71" s="478"/>
      <c r="L71" s="478"/>
      <c r="M71" s="51"/>
      <c r="N71" s="489"/>
      <c r="O71" s="489"/>
      <c r="P71" s="490"/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/>
      <c r="D72" s="385"/>
      <c r="E72" s="388"/>
      <c r="F72" s="492"/>
      <c r="G72" s="493"/>
      <c r="H72" s="493"/>
      <c r="I72" s="493"/>
      <c r="J72" s="494"/>
      <c r="K72" s="478"/>
      <c r="L72" s="478"/>
      <c r="M72" s="51"/>
      <c r="N72" s="489"/>
      <c r="O72" s="489"/>
      <c r="P72" s="490"/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385"/>
      <c r="E73" s="388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385"/>
      <c r="E74" s="388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385"/>
      <c r="E75" s="388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385"/>
      <c r="E76" s="388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385"/>
      <c r="E77" s="388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385"/>
      <c r="E78" s="388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385"/>
      <c r="E79" s="388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669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387" t="s">
        <v>2</v>
      </c>
      <c r="D81" s="387" t="s">
        <v>37</v>
      </c>
      <c r="E81" s="387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386"/>
      <c r="D82" s="386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385"/>
      <c r="D83" s="385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385"/>
      <c r="D84" s="385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385"/>
      <c r="D85" s="385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385"/>
      <c r="D86" s="385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385"/>
      <c r="D87" s="385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385"/>
      <c r="D88" s="385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670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4"/>
      <c r="N91" s="454"/>
      <c r="O91" s="454"/>
      <c r="P91" s="454"/>
      <c r="Q91" s="454"/>
      <c r="R91" s="454"/>
      <c r="S91" s="454"/>
      <c r="T91" s="454"/>
      <c r="U91" s="454"/>
      <c r="V91" s="455"/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1DE5-D0A2-4308-84C5-F17F7E57A6BA}">
  <sheetPr>
    <pageSetUpPr fitToPage="1"/>
  </sheetPr>
  <dimension ref="A1:AF93"/>
  <sheetViews>
    <sheetView view="pageBreakPreview" zoomScale="70" zoomScaleNormal="72" zoomScaleSheetLayoutView="70" workbookViewId="0">
      <selection activeCell="A90" sqref="A90:B9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671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398" t="s">
        <v>17</v>
      </c>
      <c r="L5" s="398" t="s">
        <v>18</v>
      </c>
      <c r="M5" s="398" t="s">
        <v>19</v>
      </c>
      <c r="N5" s="39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229</v>
      </c>
      <c r="E6" s="53" t="s">
        <v>603</v>
      </c>
      <c r="F6" s="30" t="s">
        <v>211</v>
      </c>
      <c r="G6" s="12">
        <v>2</v>
      </c>
      <c r="H6" s="13">
        <v>24</v>
      </c>
      <c r="I6" s="31">
        <v>48000</v>
      </c>
      <c r="J6" s="14">
        <v>10400</v>
      </c>
      <c r="K6" s="15">
        <f>L6+6668+7564+10962+11122</f>
        <v>46716</v>
      </c>
      <c r="L6" s="15">
        <f>2766*2+2434*2</f>
        <v>10400</v>
      </c>
      <c r="M6" s="15">
        <f t="shared" ref="M6:M27" si="0">L6-N6</f>
        <v>10400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 t="shared" ref="AE6:AE27" si="7">$AD$28</f>
        <v>0.26325757575757575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116</v>
      </c>
      <c r="D7" s="52" t="s">
        <v>229</v>
      </c>
      <c r="E7" s="53" t="s">
        <v>586</v>
      </c>
      <c r="F7" s="30" t="s">
        <v>592</v>
      </c>
      <c r="G7" s="12">
        <v>1</v>
      </c>
      <c r="H7" s="13">
        <v>24</v>
      </c>
      <c r="I7" s="31">
        <v>1500</v>
      </c>
      <c r="J7" s="14">
        <v>1556</v>
      </c>
      <c r="K7" s="15">
        <f>L7+1556</f>
        <v>1556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0.26325757575757575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134</v>
      </c>
      <c r="D8" s="52" t="s">
        <v>115</v>
      </c>
      <c r="E8" s="53" t="s">
        <v>495</v>
      </c>
      <c r="F8" s="30" t="s">
        <v>135</v>
      </c>
      <c r="G8" s="12">
        <v>2</v>
      </c>
      <c r="H8" s="13">
        <v>24</v>
      </c>
      <c r="I8" s="7">
        <v>20000</v>
      </c>
      <c r="J8" s="14">
        <v>10752</v>
      </c>
      <c r="K8" s="15">
        <f>L8+11212</f>
        <v>21964</v>
      </c>
      <c r="L8" s="15">
        <f>2877*2+2499*2</f>
        <v>10752</v>
      </c>
      <c r="M8" s="15">
        <f t="shared" si="0"/>
        <v>10752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0.26325757575757575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229</v>
      </c>
      <c r="E9" s="53" t="s">
        <v>622</v>
      </c>
      <c r="F9" s="30" t="s">
        <v>127</v>
      </c>
      <c r="G9" s="12">
        <v>1</v>
      </c>
      <c r="H9" s="13">
        <v>24</v>
      </c>
      <c r="I9" s="7">
        <v>1500</v>
      </c>
      <c r="J9" s="14">
        <v>5029</v>
      </c>
      <c r="K9" s="15">
        <f>L9+2933+5029</f>
        <v>7962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0.26325757575757575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300</v>
      </c>
      <c r="E10" s="53" t="s">
        <v>301</v>
      </c>
      <c r="F10" s="30" t="s">
        <v>136</v>
      </c>
      <c r="G10" s="33">
        <v>2</v>
      </c>
      <c r="H10" s="35">
        <v>24</v>
      </c>
      <c r="I10" s="7">
        <v>5000</v>
      </c>
      <c r="J10" s="14">
        <v>5410</v>
      </c>
      <c r="K10" s="15">
        <f>L10+5410</f>
        <v>5410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0.26325757575757575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121</v>
      </c>
      <c r="E11" s="53" t="s">
        <v>672</v>
      </c>
      <c r="F11" s="30" t="s">
        <v>136</v>
      </c>
      <c r="G11" s="33">
        <v>1</v>
      </c>
      <c r="H11" s="35">
        <v>24</v>
      </c>
      <c r="I11" s="7">
        <v>4000</v>
      </c>
      <c r="J11" s="14">
        <v>2816</v>
      </c>
      <c r="K11" s="15">
        <f>L11</f>
        <v>2816</v>
      </c>
      <c r="L11" s="15">
        <v>2816</v>
      </c>
      <c r="M11" s="15">
        <f t="shared" si="0"/>
        <v>2816</v>
      </c>
      <c r="N11" s="15">
        <v>0</v>
      </c>
      <c r="O11" s="58">
        <f t="shared" si="1"/>
        <v>0</v>
      </c>
      <c r="P11" s="39">
        <f t="shared" si="2"/>
        <v>16</v>
      </c>
      <c r="Q11" s="40">
        <f t="shared" si="3"/>
        <v>8</v>
      </c>
      <c r="R11" s="7"/>
      <c r="S11" s="6"/>
      <c r="T11" s="16">
        <v>8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0.66666666666666663</v>
      </c>
      <c r="AD11" s="10">
        <f t="shared" si="6"/>
        <v>0.66666666666666663</v>
      </c>
      <c r="AE11" s="36">
        <f t="shared" si="7"/>
        <v>0.26325757575757575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623</v>
      </c>
      <c r="F12" s="30" t="s">
        <v>126</v>
      </c>
      <c r="G12" s="12">
        <v>1</v>
      </c>
      <c r="H12" s="13">
        <v>22</v>
      </c>
      <c r="I12" s="31">
        <v>32000</v>
      </c>
      <c r="J12" s="5">
        <v>1869</v>
      </c>
      <c r="K12" s="15">
        <f>L12+2140+2088+3960</f>
        <v>10057</v>
      </c>
      <c r="L12" s="15">
        <f>274+1595</f>
        <v>1869</v>
      </c>
      <c r="M12" s="15">
        <f t="shared" si="0"/>
        <v>1869</v>
      </c>
      <c r="N12" s="15">
        <v>0</v>
      </c>
      <c r="O12" s="58">
        <f t="shared" si="1"/>
        <v>0</v>
      </c>
      <c r="P12" s="39">
        <f t="shared" si="2"/>
        <v>13</v>
      </c>
      <c r="Q12" s="40">
        <f t="shared" si="3"/>
        <v>11</v>
      </c>
      <c r="R12" s="7"/>
      <c r="S12" s="6">
        <v>11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0.54166666666666663</v>
      </c>
      <c r="AD12" s="10">
        <f t="shared" si="6"/>
        <v>0.54166666666666663</v>
      </c>
      <c r="AE12" s="36">
        <f t="shared" si="7"/>
        <v>0.26325757575757575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133</v>
      </c>
      <c r="E13" s="53" t="s">
        <v>621</v>
      </c>
      <c r="F13" s="30" t="s">
        <v>154</v>
      </c>
      <c r="G13" s="33">
        <v>1</v>
      </c>
      <c r="H13" s="35">
        <v>22</v>
      </c>
      <c r="I13" s="7">
        <f>32000</f>
        <v>32000</v>
      </c>
      <c r="J13" s="14">
        <v>3081</v>
      </c>
      <c r="K13" s="15">
        <f>L13+3081</f>
        <v>3081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0.26325757575757575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673</v>
      </c>
      <c r="F14" s="30" t="s">
        <v>149</v>
      </c>
      <c r="G14" s="33">
        <v>1</v>
      </c>
      <c r="H14" s="35">
        <v>30</v>
      </c>
      <c r="I14" s="7">
        <v>200</v>
      </c>
      <c r="J14" s="5">
        <v>535</v>
      </c>
      <c r="K14" s="15">
        <f>L14</f>
        <v>535</v>
      </c>
      <c r="L14" s="15">
        <v>535</v>
      </c>
      <c r="M14" s="15">
        <f t="shared" si="0"/>
        <v>535</v>
      </c>
      <c r="N14" s="15">
        <v>0</v>
      </c>
      <c r="O14" s="58">
        <f t="shared" si="1"/>
        <v>0</v>
      </c>
      <c r="P14" s="39">
        <f t="shared" si="2"/>
        <v>9</v>
      </c>
      <c r="Q14" s="40">
        <f t="shared" si="3"/>
        <v>15</v>
      </c>
      <c r="R14" s="7"/>
      <c r="S14" s="6"/>
      <c r="T14" s="16"/>
      <c r="U14" s="16"/>
      <c r="V14" s="17"/>
      <c r="W14" s="5">
        <v>15</v>
      </c>
      <c r="X14" s="16"/>
      <c r="Y14" s="16"/>
      <c r="Z14" s="16"/>
      <c r="AA14" s="18"/>
      <c r="AB14" s="8">
        <f t="shared" si="4"/>
        <v>1</v>
      </c>
      <c r="AC14" s="9">
        <f t="shared" si="5"/>
        <v>0.375</v>
      </c>
      <c r="AD14" s="10">
        <f t="shared" si="6"/>
        <v>0.375</v>
      </c>
      <c r="AE14" s="36">
        <f t="shared" si="7"/>
        <v>0.26325757575757575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0.26325757575757575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657</v>
      </c>
      <c r="F16" s="30" t="s">
        <v>149</v>
      </c>
      <c r="G16" s="12">
        <v>1</v>
      </c>
      <c r="H16" s="13">
        <v>24</v>
      </c>
      <c r="I16" s="7">
        <v>3200</v>
      </c>
      <c r="J16" s="14">
        <v>5780</v>
      </c>
      <c r="K16" s="15">
        <f>L16+5781</f>
        <v>5781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0.26325757575757575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598</v>
      </c>
      <c r="D17" s="52" t="s">
        <v>599</v>
      </c>
      <c r="E17" s="53" t="s">
        <v>600</v>
      </c>
      <c r="F17" s="30" t="s">
        <v>601</v>
      </c>
      <c r="G17" s="12">
        <v>3</v>
      </c>
      <c r="H17" s="13">
        <v>24</v>
      </c>
      <c r="I17" s="7">
        <v>20000</v>
      </c>
      <c r="J17" s="14">
        <v>13686</v>
      </c>
      <c r="K17" s="15">
        <f>L17+10938+14817+22167+21804+13686</f>
        <v>83412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0.26325757575757575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133</v>
      </c>
      <c r="E18" s="53" t="s">
        <v>584</v>
      </c>
      <c r="F18" s="30" t="s">
        <v>127</v>
      </c>
      <c r="G18" s="33">
        <v>1</v>
      </c>
      <c r="H18" s="35">
        <v>24</v>
      </c>
      <c r="I18" s="7">
        <v>47000</v>
      </c>
      <c r="J18" s="14">
        <v>11294</v>
      </c>
      <c r="K18" s="15">
        <f>L18+10388+1789+7588+12212</f>
        <v>43271</v>
      </c>
      <c r="L18" s="15">
        <f>2915*2+2732*2</f>
        <v>11294</v>
      </c>
      <c r="M18" s="15">
        <f t="shared" si="0"/>
        <v>11294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0.26325757575757575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134</v>
      </c>
      <c r="D19" s="52" t="s">
        <v>115</v>
      </c>
      <c r="E19" s="53" t="s">
        <v>666</v>
      </c>
      <c r="F19" s="30" t="s">
        <v>154</v>
      </c>
      <c r="G19" s="33">
        <v>1</v>
      </c>
      <c r="H19" s="35">
        <v>24</v>
      </c>
      <c r="I19" s="7">
        <v>800</v>
      </c>
      <c r="J19" s="14">
        <v>3017</v>
      </c>
      <c r="K19" s="15">
        <f>L19</f>
        <v>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0.26325757575757575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11" t="s">
        <v>134</v>
      </c>
      <c r="D20" s="52" t="s">
        <v>115</v>
      </c>
      <c r="E20" s="53" t="s">
        <v>666</v>
      </c>
      <c r="F20" s="30" t="s">
        <v>154</v>
      </c>
      <c r="G20" s="33">
        <v>1</v>
      </c>
      <c r="H20" s="35">
        <v>24</v>
      </c>
      <c r="I20" s="7">
        <v>800</v>
      </c>
      <c r="J20" s="14">
        <v>3017</v>
      </c>
      <c r="K20" s="15">
        <f>L20</f>
        <v>3017</v>
      </c>
      <c r="L20" s="15">
        <f>2555+462</f>
        <v>3017</v>
      </c>
      <c r="M20" s="15">
        <f t="shared" ref="M20" si="9">L20-N20</f>
        <v>3017</v>
      </c>
      <c r="N20" s="15">
        <v>0</v>
      </c>
      <c r="O20" s="58">
        <f t="shared" si="1"/>
        <v>0</v>
      </c>
      <c r="P20" s="39">
        <f t="shared" si="2"/>
        <v>18</v>
      </c>
      <c r="Q20" s="40">
        <f t="shared" si="3"/>
        <v>6</v>
      </c>
      <c r="R20" s="7"/>
      <c r="S20" s="6">
        <v>6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0.75</v>
      </c>
      <c r="AD20" s="10">
        <f t="shared" si="6"/>
        <v>0.75</v>
      </c>
      <c r="AE20" s="36">
        <f t="shared" si="7"/>
        <v>0.26325757575757575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27348</v>
      </c>
      <c r="K21" s="15">
        <f>L21+50740+61508+62116+62068+58848+54656+61696+61724+33064+28160+54396+62000+61828+61480+59956+61580+19568+54948+62132</f>
        <v>1059816</v>
      </c>
      <c r="L21" s="15">
        <f>5904*4+933*4</f>
        <v>27348</v>
      </c>
      <c r="M21" s="15">
        <f t="shared" si="0"/>
        <v>27348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7"/>
        <v>0.26325757575757575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0.26325757575757575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0.26325757575757575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0.26325757575757575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0.26325757575757575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0.26325757575757575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0.26325757575757575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10">SUM(I6:I27)</f>
        <v>3888000</v>
      </c>
      <c r="J28" s="19">
        <f t="shared" si="10"/>
        <v>498498</v>
      </c>
      <c r="K28" s="20">
        <f t="shared" si="10"/>
        <v>6195234</v>
      </c>
      <c r="L28" s="21">
        <f t="shared" si="10"/>
        <v>68031</v>
      </c>
      <c r="M28" s="20">
        <f t="shared" si="10"/>
        <v>68031</v>
      </c>
      <c r="N28" s="21">
        <f t="shared" si="10"/>
        <v>0</v>
      </c>
      <c r="O28" s="41">
        <f t="shared" si="1"/>
        <v>0</v>
      </c>
      <c r="P28" s="42">
        <f t="shared" ref="P28:AA28" si="11">SUM(P6:P27)</f>
        <v>139</v>
      </c>
      <c r="Q28" s="43">
        <f t="shared" si="11"/>
        <v>389</v>
      </c>
      <c r="R28" s="23">
        <f t="shared" si="11"/>
        <v>0</v>
      </c>
      <c r="S28" s="24">
        <f t="shared" si="11"/>
        <v>41</v>
      </c>
      <c r="T28" s="24">
        <f t="shared" si="11"/>
        <v>8</v>
      </c>
      <c r="U28" s="24">
        <f t="shared" si="11"/>
        <v>0</v>
      </c>
      <c r="V28" s="25">
        <f t="shared" si="11"/>
        <v>13</v>
      </c>
      <c r="W28" s="26">
        <f t="shared" si="11"/>
        <v>327</v>
      </c>
      <c r="X28" s="27">
        <f t="shared" si="11"/>
        <v>0</v>
      </c>
      <c r="Y28" s="27">
        <f t="shared" si="11"/>
        <v>0</v>
      </c>
      <c r="Z28" s="27">
        <f t="shared" si="11"/>
        <v>0</v>
      </c>
      <c r="AA28" s="27">
        <f t="shared" si="11"/>
        <v>0</v>
      </c>
      <c r="AB28" s="28">
        <f>AVERAGE(AB6:AB27)</f>
        <v>0.4</v>
      </c>
      <c r="AC28" s="4">
        <f>AVERAGE(AC6:AC27)</f>
        <v>0.26325757575757575</v>
      </c>
      <c r="AD28" s="4">
        <f>AVERAGE(AD6:AD27)</f>
        <v>0.26325757575757575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674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677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399" t="s">
        <v>46</v>
      </c>
      <c r="D57" s="399" t="s">
        <v>47</v>
      </c>
      <c r="E57" s="399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399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401" t="s">
        <v>219</v>
      </c>
      <c r="D58" s="401" t="s">
        <v>115</v>
      </c>
      <c r="E58" s="401" t="s">
        <v>623</v>
      </c>
      <c r="F58" s="504" t="s">
        <v>675</v>
      </c>
      <c r="G58" s="505"/>
      <c r="H58" s="505"/>
      <c r="I58" s="505"/>
      <c r="J58" s="505"/>
      <c r="K58" s="505"/>
      <c r="L58" s="505"/>
      <c r="M58" s="506"/>
      <c r="N58" s="400" t="s">
        <v>112</v>
      </c>
      <c r="O58" s="407" t="s">
        <v>240</v>
      </c>
      <c r="P58" s="518" t="s">
        <v>133</v>
      </c>
      <c r="Q58" s="519"/>
      <c r="R58" s="518" t="s">
        <v>621</v>
      </c>
      <c r="S58" s="520"/>
      <c r="T58" s="520"/>
      <c r="U58" s="519"/>
      <c r="V58" s="504" t="s">
        <v>217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401" t="s">
        <v>201</v>
      </c>
      <c r="D59" s="401" t="s">
        <v>121</v>
      </c>
      <c r="E59" s="401" t="s">
        <v>672</v>
      </c>
      <c r="F59" s="504" t="s">
        <v>123</v>
      </c>
      <c r="G59" s="505"/>
      <c r="H59" s="505"/>
      <c r="I59" s="505"/>
      <c r="J59" s="505"/>
      <c r="K59" s="505"/>
      <c r="L59" s="505"/>
      <c r="M59" s="506"/>
      <c r="N59" s="400" t="s">
        <v>112</v>
      </c>
      <c r="O59" s="407" t="s">
        <v>223</v>
      </c>
      <c r="P59" s="518" t="s">
        <v>115</v>
      </c>
      <c r="Q59" s="519"/>
      <c r="R59" s="518" t="s">
        <v>257</v>
      </c>
      <c r="S59" s="520"/>
      <c r="T59" s="520"/>
      <c r="U59" s="519"/>
      <c r="V59" s="504" t="s">
        <v>217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401" t="s">
        <v>223</v>
      </c>
      <c r="D60" s="401" t="s">
        <v>115</v>
      </c>
      <c r="E60" s="401" t="s">
        <v>673</v>
      </c>
      <c r="F60" s="504" t="s">
        <v>123</v>
      </c>
      <c r="G60" s="505"/>
      <c r="H60" s="505"/>
      <c r="I60" s="505"/>
      <c r="J60" s="505"/>
      <c r="K60" s="505"/>
      <c r="L60" s="505"/>
      <c r="M60" s="506"/>
      <c r="N60" s="400" t="s">
        <v>112</v>
      </c>
      <c r="O60" s="407" t="s">
        <v>156</v>
      </c>
      <c r="P60" s="518" t="s">
        <v>229</v>
      </c>
      <c r="Q60" s="519"/>
      <c r="R60" s="518" t="s">
        <v>678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134</v>
      </c>
      <c r="B61" s="507"/>
      <c r="C61" s="401" t="s">
        <v>220</v>
      </c>
      <c r="D61" s="401" t="s">
        <v>115</v>
      </c>
      <c r="E61" s="401" t="s">
        <v>666</v>
      </c>
      <c r="F61" s="504" t="s">
        <v>676</v>
      </c>
      <c r="G61" s="505"/>
      <c r="H61" s="505"/>
      <c r="I61" s="505"/>
      <c r="J61" s="505"/>
      <c r="K61" s="505"/>
      <c r="L61" s="505"/>
      <c r="M61" s="506"/>
      <c r="N61" s="400" t="s">
        <v>134</v>
      </c>
      <c r="O61" s="407" t="s">
        <v>504</v>
      </c>
      <c r="P61" s="518" t="s">
        <v>680</v>
      </c>
      <c r="Q61" s="519"/>
      <c r="R61" s="518" t="s">
        <v>679</v>
      </c>
      <c r="S61" s="520"/>
      <c r="T61" s="520"/>
      <c r="U61" s="519"/>
      <c r="V61" s="504" t="s">
        <v>123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/>
      <c r="B62" s="507"/>
      <c r="C62" s="401"/>
      <c r="D62" s="401"/>
      <c r="E62" s="401"/>
      <c r="F62" s="504"/>
      <c r="G62" s="505"/>
      <c r="H62" s="505"/>
      <c r="I62" s="505"/>
      <c r="J62" s="505"/>
      <c r="K62" s="505"/>
      <c r="L62" s="505"/>
      <c r="M62" s="506"/>
      <c r="N62" s="400"/>
      <c r="O62" s="407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/>
      <c r="B63" s="507"/>
      <c r="C63" s="401"/>
      <c r="D63" s="401"/>
      <c r="E63" s="401"/>
      <c r="F63" s="504"/>
      <c r="G63" s="505"/>
      <c r="H63" s="505"/>
      <c r="I63" s="505"/>
      <c r="J63" s="505"/>
      <c r="K63" s="505"/>
      <c r="L63" s="505"/>
      <c r="M63" s="506"/>
      <c r="N63" s="400"/>
      <c r="O63" s="407"/>
      <c r="P63" s="518"/>
      <c r="Q63" s="519"/>
      <c r="R63" s="518"/>
      <c r="S63" s="520"/>
      <c r="T63" s="520"/>
      <c r="U63" s="519"/>
      <c r="V63" s="504"/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/>
      <c r="B64" s="507"/>
      <c r="C64" s="401"/>
      <c r="D64" s="401"/>
      <c r="E64" s="401"/>
      <c r="F64" s="504"/>
      <c r="G64" s="505"/>
      <c r="H64" s="505"/>
      <c r="I64" s="505"/>
      <c r="J64" s="505"/>
      <c r="K64" s="505"/>
      <c r="L64" s="505"/>
      <c r="M64" s="506"/>
      <c r="N64" s="400"/>
      <c r="O64" s="407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404"/>
      <c r="D65" s="404"/>
      <c r="E65" s="401"/>
      <c r="F65" s="504"/>
      <c r="G65" s="505"/>
      <c r="H65" s="505"/>
      <c r="I65" s="505"/>
      <c r="J65" s="505"/>
      <c r="K65" s="505"/>
      <c r="L65" s="505"/>
      <c r="M65" s="506"/>
      <c r="N65" s="400"/>
      <c r="O65" s="407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404"/>
      <c r="D66" s="404"/>
      <c r="E66" s="401"/>
      <c r="F66" s="504"/>
      <c r="G66" s="505"/>
      <c r="H66" s="505"/>
      <c r="I66" s="505"/>
      <c r="J66" s="505"/>
      <c r="K66" s="505"/>
      <c r="L66" s="505"/>
      <c r="M66" s="506"/>
      <c r="N66" s="400"/>
      <c r="O66" s="407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402"/>
      <c r="D67" s="403"/>
      <c r="E67" s="402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681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405" t="s">
        <v>2</v>
      </c>
      <c r="D69" s="405" t="s">
        <v>37</v>
      </c>
      <c r="E69" s="405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405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134</v>
      </c>
      <c r="D70" s="409"/>
      <c r="E70" s="406" t="s">
        <v>137</v>
      </c>
      <c r="F70" s="488" t="s">
        <v>609</v>
      </c>
      <c r="G70" s="478"/>
      <c r="H70" s="478"/>
      <c r="I70" s="478"/>
      <c r="J70" s="478"/>
      <c r="K70" s="478" t="s">
        <v>610</v>
      </c>
      <c r="L70" s="478"/>
      <c r="M70" s="51" t="s">
        <v>155</v>
      </c>
      <c r="N70" s="489" t="s">
        <v>156</v>
      </c>
      <c r="O70" s="489"/>
      <c r="P70" s="490">
        <v>100</v>
      </c>
      <c r="Q70" s="490"/>
      <c r="R70" s="491" t="s">
        <v>686</v>
      </c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116</v>
      </c>
      <c r="D71" s="409"/>
      <c r="E71" s="406" t="s">
        <v>229</v>
      </c>
      <c r="F71" s="488" t="s">
        <v>682</v>
      </c>
      <c r="G71" s="478"/>
      <c r="H71" s="478"/>
      <c r="I71" s="478"/>
      <c r="J71" s="478"/>
      <c r="K71" s="478" t="s">
        <v>610</v>
      </c>
      <c r="L71" s="478"/>
      <c r="M71" s="51" t="s">
        <v>155</v>
      </c>
      <c r="N71" s="489" t="s">
        <v>156</v>
      </c>
      <c r="O71" s="489"/>
      <c r="P71" s="490">
        <v>100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 t="s">
        <v>112</v>
      </c>
      <c r="D72" s="409"/>
      <c r="E72" s="406" t="s">
        <v>300</v>
      </c>
      <c r="F72" s="492" t="s">
        <v>683</v>
      </c>
      <c r="G72" s="493"/>
      <c r="H72" s="493"/>
      <c r="I72" s="493"/>
      <c r="J72" s="494"/>
      <c r="K72" s="478" t="s">
        <v>136</v>
      </c>
      <c r="L72" s="478"/>
      <c r="M72" s="51" t="s">
        <v>155</v>
      </c>
      <c r="N72" s="489" t="s">
        <v>157</v>
      </c>
      <c r="O72" s="489"/>
      <c r="P72" s="490">
        <v>800</v>
      </c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 t="s">
        <v>116</v>
      </c>
      <c r="D73" s="409"/>
      <c r="E73" s="406" t="s">
        <v>121</v>
      </c>
      <c r="F73" s="492" t="s">
        <v>684</v>
      </c>
      <c r="G73" s="493"/>
      <c r="H73" s="493"/>
      <c r="I73" s="493"/>
      <c r="J73" s="494"/>
      <c r="K73" s="478" t="s">
        <v>136</v>
      </c>
      <c r="L73" s="478"/>
      <c r="M73" s="51" t="s">
        <v>155</v>
      </c>
      <c r="N73" s="489" t="s">
        <v>247</v>
      </c>
      <c r="O73" s="489"/>
      <c r="P73" s="490">
        <v>100</v>
      </c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 t="s">
        <v>134</v>
      </c>
      <c r="D74" s="409"/>
      <c r="E74" s="406" t="s">
        <v>590</v>
      </c>
      <c r="F74" s="492" t="s">
        <v>588</v>
      </c>
      <c r="G74" s="493"/>
      <c r="H74" s="493"/>
      <c r="I74" s="493"/>
      <c r="J74" s="494"/>
      <c r="K74" s="478" t="s">
        <v>114</v>
      </c>
      <c r="L74" s="478"/>
      <c r="M74" s="51" t="s">
        <v>155</v>
      </c>
      <c r="N74" s="489" t="s">
        <v>247</v>
      </c>
      <c r="O74" s="489"/>
      <c r="P74" s="490">
        <v>300</v>
      </c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 t="s">
        <v>116</v>
      </c>
      <c r="D75" s="409"/>
      <c r="E75" s="406" t="s">
        <v>300</v>
      </c>
      <c r="F75" s="492" t="s">
        <v>685</v>
      </c>
      <c r="G75" s="493"/>
      <c r="H75" s="493"/>
      <c r="I75" s="493"/>
      <c r="J75" s="494"/>
      <c r="K75" s="478" t="s">
        <v>687</v>
      </c>
      <c r="L75" s="478"/>
      <c r="M75" s="51" t="s">
        <v>155</v>
      </c>
      <c r="N75" s="489" t="s">
        <v>504</v>
      </c>
      <c r="O75" s="489"/>
      <c r="P75" s="490">
        <v>200</v>
      </c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409"/>
      <c r="E76" s="406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409"/>
      <c r="E77" s="406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409"/>
      <c r="E78" s="406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409"/>
      <c r="E79" s="406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688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408" t="s">
        <v>2</v>
      </c>
      <c r="D81" s="408" t="s">
        <v>37</v>
      </c>
      <c r="E81" s="408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410"/>
      <c r="D82" s="410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409"/>
      <c r="D83" s="409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2">A83+1</f>
        <v>3</v>
      </c>
      <c r="B84" s="446"/>
      <c r="C84" s="409"/>
      <c r="D84" s="409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2"/>
        <v>4</v>
      </c>
      <c r="B85" s="446"/>
      <c r="C85" s="409"/>
      <c r="D85" s="409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2"/>
        <v>5</v>
      </c>
      <c r="B86" s="446"/>
      <c r="C86" s="409"/>
      <c r="D86" s="409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2"/>
        <v>6</v>
      </c>
      <c r="B87" s="446"/>
      <c r="C87" s="409"/>
      <c r="D87" s="409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2"/>
        <v>7</v>
      </c>
      <c r="B88" s="446"/>
      <c r="C88" s="409"/>
      <c r="D88" s="409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689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4"/>
      <c r="N91" s="454"/>
      <c r="O91" s="454"/>
      <c r="P91" s="454"/>
      <c r="Q91" s="454"/>
      <c r="R91" s="454"/>
      <c r="S91" s="454"/>
      <c r="T91" s="454"/>
      <c r="U91" s="454"/>
      <c r="V91" s="455"/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A3BF-69BC-4FF2-8F32-7B1F7DCF357F}">
  <sheetPr>
    <pageSetUpPr fitToPage="1"/>
  </sheetPr>
  <dimension ref="A1:AF93"/>
  <sheetViews>
    <sheetView view="pageBreakPreview" zoomScale="70" zoomScaleNormal="72" zoomScaleSheetLayoutView="70" workbookViewId="0">
      <selection activeCell="F86" sqref="F86:J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690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423" t="s">
        <v>17</v>
      </c>
      <c r="L5" s="423" t="s">
        <v>18</v>
      </c>
      <c r="M5" s="423" t="s">
        <v>19</v>
      </c>
      <c r="N5" s="42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229</v>
      </c>
      <c r="E6" s="53" t="s">
        <v>603</v>
      </c>
      <c r="F6" s="30" t="s">
        <v>211</v>
      </c>
      <c r="G6" s="12">
        <v>2</v>
      </c>
      <c r="H6" s="13">
        <v>24</v>
      </c>
      <c r="I6" s="31">
        <v>48000</v>
      </c>
      <c r="J6" s="14">
        <v>11088</v>
      </c>
      <c r="K6" s="15">
        <f>L6+6668+7564+10962+11122+10400</f>
        <v>57804</v>
      </c>
      <c r="L6" s="15">
        <f>2815*2+2729*2</f>
        <v>11088</v>
      </c>
      <c r="M6" s="15">
        <f t="shared" ref="M6:M27" si="0">L6-N6</f>
        <v>11088</v>
      </c>
      <c r="N6" s="15">
        <v>0</v>
      </c>
      <c r="O6" s="58">
        <f t="shared" ref="O6:O28" si="1">IF(L6=0,"0",N6/L6)</f>
        <v>0</v>
      </c>
      <c r="P6" s="39">
        <f t="shared" ref="P6:P27" si="2">IF(L6=0,"0",(24-Q6))</f>
        <v>24</v>
      </c>
      <c r="Q6" s="40">
        <f t="shared" ref="Q6:Q27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7" si="4">IF(J6=0,"0",(L6/J6))</f>
        <v>1</v>
      </c>
      <c r="AC6" s="9">
        <f t="shared" ref="AC6:AC27" si="5">IF(P6=0,"0",(P6/24))</f>
        <v>1</v>
      </c>
      <c r="AD6" s="10">
        <f t="shared" ref="AD6:AD27" si="6">AC6*AB6*(1-O6)</f>
        <v>1</v>
      </c>
      <c r="AE6" s="36">
        <f t="shared" ref="AE6:AE27" si="7">$AD$28</f>
        <v>0.32007575757575757</v>
      </c>
      <c r="AF6" s="84">
        <f t="shared" ref="AF6:AF27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229</v>
      </c>
      <c r="E7" s="53" t="s">
        <v>678</v>
      </c>
      <c r="F7" s="30" t="s">
        <v>479</v>
      </c>
      <c r="G7" s="12">
        <v>1</v>
      </c>
      <c r="H7" s="13">
        <v>24</v>
      </c>
      <c r="I7" s="31">
        <v>100</v>
      </c>
      <c r="J7" s="14">
        <v>1731</v>
      </c>
      <c r="K7" s="15">
        <f>L7</f>
        <v>1731</v>
      </c>
      <c r="L7" s="15">
        <v>1731</v>
      </c>
      <c r="M7" s="15">
        <f t="shared" si="0"/>
        <v>1731</v>
      </c>
      <c r="N7" s="15">
        <v>0</v>
      </c>
      <c r="O7" s="58">
        <f t="shared" si="1"/>
        <v>0</v>
      </c>
      <c r="P7" s="39">
        <f t="shared" si="2"/>
        <v>11</v>
      </c>
      <c r="Q7" s="40">
        <f t="shared" si="3"/>
        <v>13</v>
      </c>
      <c r="R7" s="7"/>
      <c r="S7" s="6"/>
      <c r="T7" s="16"/>
      <c r="U7" s="16"/>
      <c r="V7" s="17"/>
      <c r="W7" s="5">
        <v>13</v>
      </c>
      <c r="X7" s="16"/>
      <c r="Y7" s="16"/>
      <c r="Z7" s="16"/>
      <c r="AA7" s="18"/>
      <c r="AB7" s="8">
        <f t="shared" si="4"/>
        <v>1</v>
      </c>
      <c r="AC7" s="9">
        <f t="shared" si="5"/>
        <v>0.45833333333333331</v>
      </c>
      <c r="AD7" s="10">
        <f t="shared" si="6"/>
        <v>0.45833333333333331</v>
      </c>
      <c r="AE7" s="36">
        <f t="shared" si="7"/>
        <v>0.32007575757575757</v>
      </c>
      <c r="AF7" s="84">
        <f t="shared" si="8"/>
        <v>2</v>
      </c>
    </row>
    <row r="8" spans="1:32" ht="27" customHeight="1">
      <c r="A8" s="112">
        <v>3</v>
      </c>
      <c r="B8" s="11" t="s">
        <v>57</v>
      </c>
      <c r="C8" s="34" t="s">
        <v>134</v>
      </c>
      <c r="D8" s="52" t="s">
        <v>115</v>
      </c>
      <c r="E8" s="53" t="s">
        <v>495</v>
      </c>
      <c r="F8" s="30" t="s">
        <v>135</v>
      </c>
      <c r="G8" s="12">
        <v>2</v>
      </c>
      <c r="H8" s="13">
        <v>24</v>
      </c>
      <c r="I8" s="7">
        <v>20000</v>
      </c>
      <c r="J8" s="14">
        <v>12072</v>
      </c>
      <c r="K8" s="15">
        <f>L8+11212+10752</f>
        <v>34036</v>
      </c>
      <c r="L8" s="15">
        <f>2923*2+274*2+2839*2</f>
        <v>12072</v>
      </c>
      <c r="M8" s="15">
        <f t="shared" si="0"/>
        <v>12072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0.32007575757575757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116</v>
      </c>
      <c r="D9" s="52" t="s">
        <v>229</v>
      </c>
      <c r="E9" s="53" t="s">
        <v>622</v>
      </c>
      <c r="F9" s="30" t="s">
        <v>127</v>
      </c>
      <c r="G9" s="12">
        <v>1</v>
      </c>
      <c r="H9" s="13">
        <v>24</v>
      </c>
      <c r="I9" s="7">
        <v>1500</v>
      </c>
      <c r="J9" s="14">
        <v>5029</v>
      </c>
      <c r="K9" s="15">
        <f>L9+2933+5029</f>
        <v>7962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0.32007575757575757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300</v>
      </c>
      <c r="E10" s="53" t="s">
        <v>301</v>
      </c>
      <c r="F10" s="30" t="s">
        <v>136</v>
      </c>
      <c r="G10" s="33">
        <v>2</v>
      </c>
      <c r="H10" s="35">
        <v>24</v>
      </c>
      <c r="I10" s="7">
        <v>5000</v>
      </c>
      <c r="J10" s="14">
        <v>5410</v>
      </c>
      <c r="K10" s="15">
        <f>L10+5410</f>
        <v>5410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0.32007575757575757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121</v>
      </c>
      <c r="E11" s="53" t="s">
        <v>672</v>
      </c>
      <c r="F11" s="30" t="s">
        <v>136</v>
      </c>
      <c r="G11" s="33">
        <v>1</v>
      </c>
      <c r="H11" s="35">
        <v>24</v>
      </c>
      <c r="I11" s="7">
        <v>4000</v>
      </c>
      <c r="J11" s="14">
        <v>2001</v>
      </c>
      <c r="K11" s="15">
        <f>L11+2816</f>
        <v>4817</v>
      </c>
      <c r="L11" s="15">
        <v>2001</v>
      </c>
      <c r="M11" s="15">
        <f t="shared" si="0"/>
        <v>2001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/>
      <c r="S11" s="6"/>
      <c r="T11" s="16"/>
      <c r="U11" s="16"/>
      <c r="V11" s="17"/>
      <c r="W11" s="5">
        <v>14</v>
      </c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6">
        <f t="shared" si="7"/>
        <v>0.32007575757575757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623</v>
      </c>
      <c r="F12" s="30" t="s">
        <v>126</v>
      </c>
      <c r="G12" s="12">
        <v>1</v>
      </c>
      <c r="H12" s="13">
        <v>22</v>
      </c>
      <c r="I12" s="31">
        <v>32000</v>
      </c>
      <c r="J12" s="5">
        <v>3592</v>
      </c>
      <c r="K12" s="15">
        <f>L12+2140+2088+3960+1869</f>
        <v>13649</v>
      </c>
      <c r="L12" s="15">
        <f>2249+1343</f>
        <v>3592</v>
      </c>
      <c r="M12" s="15">
        <f t="shared" si="0"/>
        <v>3592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6">
        <f t="shared" si="7"/>
        <v>0.32007575757575757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133</v>
      </c>
      <c r="E13" s="53" t="s">
        <v>621</v>
      </c>
      <c r="F13" s="30" t="s">
        <v>154</v>
      </c>
      <c r="G13" s="33">
        <v>1</v>
      </c>
      <c r="H13" s="35">
        <v>22</v>
      </c>
      <c r="I13" s="7">
        <f>32000</f>
        <v>32000</v>
      </c>
      <c r="J13" s="14">
        <v>3081</v>
      </c>
      <c r="K13" s="15">
        <f>L13+3081</f>
        <v>3081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0.32007575757575757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257</v>
      </c>
      <c r="F14" s="30" t="s">
        <v>230</v>
      </c>
      <c r="G14" s="33">
        <v>1</v>
      </c>
      <c r="H14" s="35">
        <v>30</v>
      </c>
      <c r="I14" s="7">
        <v>200</v>
      </c>
      <c r="J14" s="5">
        <v>313</v>
      </c>
      <c r="K14" s="15">
        <f>L14</f>
        <v>313</v>
      </c>
      <c r="L14" s="15">
        <f>90+223</f>
        <v>313</v>
      </c>
      <c r="M14" s="15">
        <f t="shared" si="0"/>
        <v>313</v>
      </c>
      <c r="N14" s="15">
        <v>0</v>
      </c>
      <c r="O14" s="58">
        <f t="shared" si="1"/>
        <v>0</v>
      </c>
      <c r="P14" s="39">
        <f t="shared" si="2"/>
        <v>7</v>
      </c>
      <c r="Q14" s="40">
        <f t="shared" si="3"/>
        <v>17</v>
      </c>
      <c r="R14" s="7"/>
      <c r="S14" s="6">
        <v>7</v>
      </c>
      <c r="T14" s="16"/>
      <c r="U14" s="16"/>
      <c r="V14" s="17"/>
      <c r="W14" s="5">
        <v>10</v>
      </c>
      <c r="X14" s="16"/>
      <c r="Y14" s="16"/>
      <c r="Z14" s="16"/>
      <c r="AA14" s="18"/>
      <c r="AB14" s="8">
        <f t="shared" si="4"/>
        <v>1</v>
      </c>
      <c r="AC14" s="9">
        <f t="shared" si="5"/>
        <v>0.29166666666666669</v>
      </c>
      <c r="AD14" s="10">
        <f t="shared" si="6"/>
        <v>0.29166666666666669</v>
      </c>
      <c r="AE14" s="36">
        <f t="shared" si="7"/>
        <v>0.32007575757575757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116</v>
      </c>
      <c r="D15" s="52" t="s">
        <v>121</v>
      </c>
      <c r="E15" s="53" t="s">
        <v>132</v>
      </c>
      <c r="F15" s="30" t="s">
        <v>128</v>
      </c>
      <c r="G15" s="12">
        <v>4</v>
      </c>
      <c r="H15" s="13">
        <v>24</v>
      </c>
      <c r="I15" s="31">
        <v>52000</v>
      </c>
      <c r="J15" s="14">
        <v>76</v>
      </c>
      <c r="K15" s="15">
        <f>L15+17004+25452+26300</f>
        <v>68756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0.32007575757575757</v>
      </c>
      <c r="AF15" s="84">
        <f t="shared" si="8"/>
        <v>10</v>
      </c>
    </row>
    <row r="16" spans="1:32" ht="27" customHeight="1">
      <c r="A16" s="112">
        <v>11</v>
      </c>
      <c r="B16" s="11" t="s">
        <v>57</v>
      </c>
      <c r="C16" s="34" t="s">
        <v>112</v>
      </c>
      <c r="D16" s="52" t="s">
        <v>115</v>
      </c>
      <c r="E16" s="53" t="s">
        <v>657</v>
      </c>
      <c r="F16" s="30" t="s">
        <v>149</v>
      </c>
      <c r="G16" s="12">
        <v>1</v>
      </c>
      <c r="H16" s="13">
        <v>24</v>
      </c>
      <c r="I16" s="7">
        <v>3200</v>
      </c>
      <c r="J16" s="14">
        <v>5780</v>
      </c>
      <c r="K16" s="15">
        <f>L16+5781</f>
        <v>5781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0.32007575757575757</v>
      </c>
      <c r="AF16" s="84">
        <f t="shared" si="8"/>
        <v>11</v>
      </c>
    </row>
    <row r="17" spans="1:32" ht="27" customHeight="1">
      <c r="A17" s="95">
        <v>12</v>
      </c>
      <c r="B17" s="11" t="s">
        <v>57</v>
      </c>
      <c r="C17" s="34" t="s">
        <v>598</v>
      </c>
      <c r="D17" s="52" t="s">
        <v>599</v>
      </c>
      <c r="E17" s="53" t="s">
        <v>600</v>
      </c>
      <c r="F17" s="30" t="s">
        <v>601</v>
      </c>
      <c r="G17" s="12">
        <v>3</v>
      </c>
      <c r="H17" s="13">
        <v>24</v>
      </c>
      <c r="I17" s="7">
        <v>20000</v>
      </c>
      <c r="J17" s="14">
        <v>13686</v>
      </c>
      <c r="K17" s="15">
        <f>L17+10938+14817+22167+21804+13686</f>
        <v>83412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0.32007575757575757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133</v>
      </c>
      <c r="E18" s="53" t="s">
        <v>584</v>
      </c>
      <c r="F18" s="30" t="s">
        <v>127</v>
      </c>
      <c r="G18" s="33">
        <v>1</v>
      </c>
      <c r="H18" s="35">
        <v>24</v>
      </c>
      <c r="I18" s="7">
        <v>47000</v>
      </c>
      <c r="J18" s="14">
        <v>7402</v>
      </c>
      <c r="K18" s="15">
        <f>L18+10388+1789+7588+12212+11294</f>
        <v>50673</v>
      </c>
      <c r="L18" s="15">
        <f>1230*2+2471*2</f>
        <v>7402</v>
      </c>
      <c r="M18" s="15">
        <f t="shared" si="0"/>
        <v>7402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>
        <v>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 t="shared" si="7"/>
        <v>0.32007575757575757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134</v>
      </c>
      <c r="D19" s="52" t="s">
        <v>691</v>
      </c>
      <c r="E19" s="53" t="s">
        <v>692</v>
      </c>
      <c r="F19" s="30" t="s">
        <v>127</v>
      </c>
      <c r="G19" s="33">
        <v>2</v>
      </c>
      <c r="H19" s="35">
        <v>24</v>
      </c>
      <c r="I19" s="7">
        <v>6000</v>
      </c>
      <c r="J19" s="14">
        <v>6368</v>
      </c>
      <c r="K19" s="15">
        <f>L19</f>
        <v>6368</v>
      </c>
      <c r="L19" s="15">
        <f>1211*2+1973*2</f>
        <v>6368</v>
      </c>
      <c r="M19" s="15">
        <f t="shared" si="0"/>
        <v>6368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/>
      <c r="S19" s="6"/>
      <c r="T19" s="16">
        <v>3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0.875</v>
      </c>
      <c r="AD19" s="10">
        <f t="shared" si="6"/>
        <v>0.875</v>
      </c>
      <c r="AE19" s="36">
        <f t="shared" si="7"/>
        <v>0.32007575757575757</v>
      </c>
      <c r="AF19" s="84">
        <f t="shared" si="8"/>
        <v>14</v>
      </c>
    </row>
    <row r="20" spans="1:32" ht="27" customHeight="1">
      <c r="A20" s="112">
        <v>15</v>
      </c>
      <c r="B20" s="11" t="s">
        <v>57</v>
      </c>
      <c r="C20" s="11" t="s">
        <v>112</v>
      </c>
      <c r="D20" s="52" t="s">
        <v>133</v>
      </c>
      <c r="E20" s="53" t="s">
        <v>621</v>
      </c>
      <c r="F20" s="30" t="s">
        <v>154</v>
      </c>
      <c r="G20" s="33">
        <v>1</v>
      </c>
      <c r="H20" s="35">
        <v>24</v>
      </c>
      <c r="I20" s="7">
        <v>32000</v>
      </c>
      <c r="J20" s="14">
        <v>3118</v>
      </c>
      <c r="K20" s="15">
        <f>L20</f>
        <v>3118</v>
      </c>
      <c r="L20" s="15">
        <f>612+2506</f>
        <v>3118</v>
      </c>
      <c r="M20" s="15">
        <f t="shared" si="0"/>
        <v>3118</v>
      </c>
      <c r="N20" s="15">
        <v>0</v>
      </c>
      <c r="O20" s="58">
        <f t="shared" si="1"/>
        <v>0</v>
      </c>
      <c r="P20" s="39">
        <f t="shared" si="2"/>
        <v>18</v>
      </c>
      <c r="Q20" s="40">
        <f t="shared" si="3"/>
        <v>6</v>
      </c>
      <c r="R20" s="7"/>
      <c r="S20" s="6"/>
      <c r="T20" s="16">
        <v>6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0.75</v>
      </c>
      <c r="AD20" s="10">
        <f t="shared" si="6"/>
        <v>0.75</v>
      </c>
      <c r="AE20" s="36">
        <f t="shared" si="7"/>
        <v>0.32007575757575757</v>
      </c>
      <c r="AF20" s="84">
        <f t="shared" si="8"/>
        <v>15</v>
      </c>
    </row>
    <row r="21" spans="1:32" ht="26.25" customHeight="1">
      <c r="A21" s="96">
        <v>16</v>
      </c>
      <c r="B21" s="11" t="s">
        <v>57</v>
      </c>
      <c r="C21" s="11" t="s">
        <v>113</v>
      </c>
      <c r="D21" s="52"/>
      <c r="E21" s="53" t="s">
        <v>131</v>
      </c>
      <c r="F21" s="12" t="s">
        <v>114</v>
      </c>
      <c r="G21" s="12">
        <v>4</v>
      </c>
      <c r="H21" s="35">
        <v>20</v>
      </c>
      <c r="I21" s="7">
        <v>1000000</v>
      </c>
      <c r="J21" s="14">
        <v>33480</v>
      </c>
      <c r="K21" s="15">
        <f>L21+50740+61508+62116+62068+58848+54656+61696+61724+33064+28160+54396+62000+61828+61480+59956+61580+19568+54948+62132+27348</f>
        <v>1093296</v>
      </c>
      <c r="L21" s="15">
        <f>7379*4+991*4</f>
        <v>33480</v>
      </c>
      <c r="M21" s="15">
        <f t="shared" si="0"/>
        <v>33480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0.32007575757575757</v>
      </c>
      <c r="AF21" s="84">
        <f t="shared" si="8"/>
        <v>16</v>
      </c>
    </row>
    <row r="22" spans="1:32" ht="18.75">
      <c r="A22" s="96">
        <v>31</v>
      </c>
      <c r="B22" s="11" t="s">
        <v>57</v>
      </c>
      <c r="C22" s="11"/>
      <c r="D22" s="52"/>
      <c r="E22" s="53"/>
      <c r="F22" s="12"/>
      <c r="G22" s="12"/>
      <c r="H22" s="35">
        <v>20</v>
      </c>
      <c r="I22" s="7"/>
      <c r="J22" s="14">
        <v>0</v>
      </c>
      <c r="K22" s="15">
        <f>L22</f>
        <v>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 t="str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0.32007575757575757</v>
      </c>
      <c r="AF22" s="84">
        <f t="shared" si="8"/>
        <v>31</v>
      </c>
    </row>
    <row r="23" spans="1:32" ht="18.75">
      <c r="A23" s="96">
        <v>32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0.32007575757575757</v>
      </c>
      <c r="AF23" s="84">
        <f t="shared" si="8"/>
        <v>32</v>
      </c>
    </row>
    <row r="24" spans="1:32" ht="18.75">
      <c r="A24" s="96">
        <v>33</v>
      </c>
      <c r="B24" s="11" t="s">
        <v>57</v>
      </c>
      <c r="C24" s="11" t="s">
        <v>116</v>
      </c>
      <c r="D24" s="52" t="s">
        <v>137</v>
      </c>
      <c r="E24" s="53" t="s">
        <v>140</v>
      </c>
      <c r="F24" s="12" t="s">
        <v>136</v>
      </c>
      <c r="G24" s="12">
        <v>1</v>
      </c>
      <c r="H24" s="35">
        <v>20</v>
      </c>
      <c r="I24" s="7">
        <v>140000</v>
      </c>
      <c r="J24" s="14">
        <v>3244</v>
      </c>
      <c r="K24" s="15">
        <f>L24+4387+7770+5806+7905+7479+7369+7360+2397+6904+7208+7013+6976+6992+2652+6495+7026+7051+7084+4297+6519+7042+3244</f>
        <v>136976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20"/>
      <c r="W24" s="5">
        <v>24</v>
      </c>
      <c r="X24" s="16"/>
      <c r="Y24" s="16"/>
      <c r="Z24" s="16"/>
      <c r="AA24" s="18"/>
      <c r="AB24" s="8">
        <f t="shared" si="4"/>
        <v>0</v>
      </c>
      <c r="AC24" s="9">
        <f t="shared" si="5"/>
        <v>0</v>
      </c>
      <c r="AD24" s="10">
        <f t="shared" si="6"/>
        <v>0</v>
      </c>
      <c r="AE24" s="36">
        <f t="shared" si="7"/>
        <v>0.32007575757575757</v>
      </c>
      <c r="AF24" s="84">
        <f t="shared" si="8"/>
        <v>33</v>
      </c>
    </row>
    <row r="25" spans="1:32" ht="28.5">
      <c r="A25" s="96">
        <v>34</v>
      </c>
      <c r="B25" s="11" t="s">
        <v>57</v>
      </c>
      <c r="C25" s="11" t="s">
        <v>116</v>
      </c>
      <c r="D25" s="52" t="s">
        <v>137</v>
      </c>
      <c r="E25" s="53" t="s">
        <v>141</v>
      </c>
      <c r="F25" s="12" t="s">
        <v>128</v>
      </c>
      <c r="G25" s="12">
        <v>4</v>
      </c>
      <c r="H25" s="35">
        <v>20</v>
      </c>
      <c r="I25" s="7">
        <v>240000</v>
      </c>
      <c r="J25" s="14">
        <v>9988</v>
      </c>
      <c r="K25" s="15">
        <f>L25+24768+29084+29040+29804+27780+4064+26996+28972+25428+29132+9988</f>
        <v>265056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 t="shared" si="7"/>
        <v>0.32007575757575757</v>
      </c>
      <c r="AF25" s="84">
        <f t="shared" si="8"/>
        <v>34</v>
      </c>
    </row>
    <row r="26" spans="1:32" ht="28.5">
      <c r="A26" s="96">
        <v>35</v>
      </c>
      <c r="B26" s="11" t="s">
        <v>57</v>
      </c>
      <c r="C26" s="11" t="s">
        <v>116</v>
      </c>
      <c r="D26" s="52" t="s">
        <v>121</v>
      </c>
      <c r="E26" s="53" t="s">
        <v>130</v>
      </c>
      <c r="F26" s="12" t="s">
        <v>128</v>
      </c>
      <c r="G26" s="12">
        <v>4</v>
      </c>
      <c r="H26" s="35">
        <v>20</v>
      </c>
      <c r="I26" s="7">
        <v>240000</v>
      </c>
      <c r="J26" s="14">
        <v>11600</v>
      </c>
      <c r="K26" s="15">
        <f>L26+25004+29968+31848+29672+31736+27000+29200+29420+29140+11600</f>
        <v>274588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 t="shared" si="7"/>
        <v>0.32007575757575757</v>
      </c>
      <c r="AF26" s="84">
        <f t="shared" si="8"/>
        <v>35</v>
      </c>
    </row>
    <row r="27" spans="1:32" ht="19.5" thickBot="1">
      <c r="A27" s="96">
        <v>36</v>
      </c>
      <c r="B27" s="11" t="s">
        <v>57</v>
      </c>
      <c r="C27" s="11" t="s">
        <v>150</v>
      </c>
      <c r="D27" s="52"/>
      <c r="E27" s="53" t="s">
        <v>348</v>
      </c>
      <c r="F27" s="12" t="s">
        <v>152</v>
      </c>
      <c r="G27" s="12">
        <v>32</v>
      </c>
      <c r="H27" s="35">
        <v>20</v>
      </c>
      <c r="I27" s="7">
        <v>2000000</v>
      </c>
      <c r="J27" s="14">
        <v>368000</v>
      </c>
      <c r="K27" s="15">
        <f>L27+396032+523136+552288+502656+539840+542400+544128+185984+368000</f>
        <v>4154464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 t="shared" si="7"/>
        <v>0.32007575757575757</v>
      </c>
      <c r="AF27" s="84">
        <f t="shared" si="8"/>
        <v>36</v>
      </c>
    </row>
    <row r="28" spans="1:32" ht="19.5" thickBot="1">
      <c r="A28" s="523" t="s">
        <v>34</v>
      </c>
      <c r="B28" s="524"/>
      <c r="C28" s="524"/>
      <c r="D28" s="524"/>
      <c r="E28" s="524"/>
      <c r="F28" s="524"/>
      <c r="G28" s="524"/>
      <c r="H28" s="525"/>
      <c r="I28" s="22">
        <f t="shared" ref="I28:N28" si="9">SUM(I6:I27)</f>
        <v>3923000</v>
      </c>
      <c r="J28" s="19">
        <f t="shared" si="9"/>
        <v>507059</v>
      </c>
      <c r="K28" s="20">
        <f t="shared" si="9"/>
        <v>6271291</v>
      </c>
      <c r="L28" s="21">
        <f t="shared" si="9"/>
        <v>81165</v>
      </c>
      <c r="M28" s="20">
        <f t="shared" si="9"/>
        <v>81165</v>
      </c>
      <c r="N28" s="21">
        <f t="shared" si="9"/>
        <v>0</v>
      </c>
      <c r="O28" s="41">
        <f t="shared" si="1"/>
        <v>0</v>
      </c>
      <c r="P28" s="42">
        <f t="shared" ref="P28:AA28" si="10">SUM(P6:P27)</f>
        <v>169</v>
      </c>
      <c r="Q28" s="43">
        <f t="shared" si="10"/>
        <v>359</v>
      </c>
      <c r="R28" s="23">
        <f t="shared" si="10"/>
        <v>0</v>
      </c>
      <c r="S28" s="24">
        <f t="shared" si="10"/>
        <v>39</v>
      </c>
      <c r="T28" s="24">
        <f t="shared" si="10"/>
        <v>9</v>
      </c>
      <c r="U28" s="24">
        <f t="shared" si="10"/>
        <v>0</v>
      </c>
      <c r="V28" s="25">
        <f t="shared" si="10"/>
        <v>10</v>
      </c>
      <c r="W28" s="26">
        <f t="shared" si="10"/>
        <v>301</v>
      </c>
      <c r="X28" s="27">
        <f t="shared" si="10"/>
        <v>0</v>
      </c>
      <c r="Y28" s="27">
        <f t="shared" si="10"/>
        <v>0</v>
      </c>
      <c r="Z28" s="27">
        <f t="shared" si="10"/>
        <v>0</v>
      </c>
      <c r="AA28" s="27">
        <f t="shared" si="10"/>
        <v>0</v>
      </c>
      <c r="AB28" s="28">
        <f>AVERAGE(AB6:AB27)</f>
        <v>0.5</v>
      </c>
      <c r="AC28" s="4">
        <f>AVERAGE(AC6:AC27)</f>
        <v>0.32007575757575757</v>
      </c>
      <c r="AD28" s="4">
        <f>AVERAGE(AD6:AD27)</f>
        <v>0.32007575757575757</v>
      </c>
      <c r="AE28" s="29"/>
    </row>
    <row r="29" spans="1:32">
      <c r="T29" s="50" t="s">
        <v>138</v>
      </c>
    </row>
    <row r="30" spans="1:32" ht="18.75">
      <c r="A30" s="2"/>
      <c r="B30" s="2" t="s">
        <v>35</v>
      </c>
      <c r="C30" s="2"/>
      <c r="D30" s="2"/>
      <c r="E30" s="2"/>
      <c r="F30" s="2"/>
      <c r="G30" s="2"/>
      <c r="H30" s="3"/>
      <c r="I30" s="3"/>
      <c r="J30" s="2"/>
      <c r="K30" s="2"/>
      <c r="L30" s="2"/>
      <c r="M30" s="2"/>
      <c r="N30" s="2" t="s">
        <v>36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1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 t="s">
        <v>139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85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27">
      <c r="A45" s="59"/>
      <c r="B45" s="59"/>
      <c r="C45" s="59"/>
      <c r="D45" s="59"/>
      <c r="E45" s="59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F45" s="50"/>
    </row>
    <row r="46" spans="1:32" ht="29.25" customHeight="1">
      <c r="A46" s="60"/>
      <c r="B46" s="60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1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36" thickBot="1">
      <c r="A55" s="526" t="s">
        <v>45</v>
      </c>
      <c r="B55" s="526"/>
      <c r="C55" s="526"/>
      <c r="D55" s="526"/>
      <c r="E55" s="52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26.25" thickBot="1">
      <c r="A56" s="527" t="s">
        <v>693</v>
      </c>
      <c r="B56" s="528"/>
      <c r="C56" s="528"/>
      <c r="D56" s="528"/>
      <c r="E56" s="528"/>
      <c r="F56" s="528"/>
      <c r="G56" s="528"/>
      <c r="H56" s="528"/>
      <c r="I56" s="528"/>
      <c r="J56" s="528"/>
      <c r="K56" s="528"/>
      <c r="L56" s="528"/>
      <c r="M56" s="529"/>
      <c r="N56" s="530" t="s">
        <v>697</v>
      </c>
      <c r="O56" s="531"/>
      <c r="P56" s="531"/>
      <c r="Q56" s="531"/>
      <c r="R56" s="531"/>
      <c r="S56" s="531"/>
      <c r="T56" s="531"/>
      <c r="U56" s="531"/>
      <c r="V56" s="531"/>
      <c r="W56" s="531"/>
      <c r="X56" s="531"/>
      <c r="Y56" s="531"/>
      <c r="Z56" s="531"/>
      <c r="AA56" s="531"/>
      <c r="AB56" s="531"/>
      <c r="AC56" s="531"/>
      <c r="AD56" s="532"/>
    </row>
    <row r="57" spans="1:32" ht="27" customHeight="1">
      <c r="A57" s="533" t="s">
        <v>2</v>
      </c>
      <c r="B57" s="534"/>
      <c r="C57" s="422" t="s">
        <v>46</v>
      </c>
      <c r="D57" s="422" t="s">
        <v>47</v>
      </c>
      <c r="E57" s="422" t="s">
        <v>107</v>
      </c>
      <c r="F57" s="535" t="s">
        <v>106</v>
      </c>
      <c r="G57" s="536"/>
      <c r="H57" s="536"/>
      <c r="I57" s="536"/>
      <c r="J57" s="536"/>
      <c r="K57" s="536"/>
      <c r="L57" s="536"/>
      <c r="M57" s="537"/>
      <c r="N57" s="67" t="s">
        <v>110</v>
      </c>
      <c r="O57" s="422" t="s">
        <v>46</v>
      </c>
      <c r="P57" s="535" t="s">
        <v>47</v>
      </c>
      <c r="Q57" s="538"/>
      <c r="R57" s="535" t="s">
        <v>38</v>
      </c>
      <c r="S57" s="536"/>
      <c r="T57" s="536"/>
      <c r="U57" s="538"/>
      <c r="V57" s="535" t="s">
        <v>48</v>
      </c>
      <c r="W57" s="536"/>
      <c r="X57" s="536"/>
      <c r="Y57" s="536"/>
      <c r="Z57" s="536"/>
      <c r="AA57" s="536"/>
      <c r="AB57" s="536"/>
      <c r="AC57" s="536"/>
      <c r="AD57" s="537"/>
    </row>
    <row r="58" spans="1:32" ht="27" customHeight="1">
      <c r="A58" s="517" t="s">
        <v>112</v>
      </c>
      <c r="B58" s="507"/>
      <c r="C58" s="418" t="s">
        <v>219</v>
      </c>
      <c r="D58" s="418" t="s">
        <v>115</v>
      </c>
      <c r="E58" s="418" t="s">
        <v>623</v>
      </c>
      <c r="F58" s="504" t="s">
        <v>694</v>
      </c>
      <c r="G58" s="505"/>
      <c r="H58" s="505"/>
      <c r="I58" s="505"/>
      <c r="J58" s="505"/>
      <c r="K58" s="505"/>
      <c r="L58" s="505"/>
      <c r="M58" s="506"/>
      <c r="N58" s="421" t="s">
        <v>134</v>
      </c>
      <c r="O58" s="415" t="s">
        <v>504</v>
      </c>
      <c r="P58" s="518" t="s">
        <v>680</v>
      </c>
      <c r="Q58" s="519"/>
      <c r="R58" s="518" t="s">
        <v>679</v>
      </c>
      <c r="S58" s="520"/>
      <c r="T58" s="520"/>
      <c r="U58" s="519"/>
      <c r="V58" s="504" t="s">
        <v>123</v>
      </c>
      <c r="W58" s="505"/>
      <c r="X58" s="505"/>
      <c r="Y58" s="505"/>
      <c r="Z58" s="505"/>
      <c r="AA58" s="505"/>
      <c r="AB58" s="505"/>
      <c r="AC58" s="505"/>
      <c r="AD58" s="506"/>
    </row>
    <row r="59" spans="1:32" ht="27" customHeight="1">
      <c r="A59" s="517" t="s">
        <v>112</v>
      </c>
      <c r="B59" s="507"/>
      <c r="C59" s="418" t="s">
        <v>240</v>
      </c>
      <c r="D59" s="418" t="s">
        <v>133</v>
      </c>
      <c r="E59" s="418" t="s">
        <v>621</v>
      </c>
      <c r="F59" s="504" t="s">
        <v>695</v>
      </c>
      <c r="G59" s="505"/>
      <c r="H59" s="505"/>
      <c r="I59" s="505"/>
      <c r="J59" s="505"/>
      <c r="K59" s="505"/>
      <c r="L59" s="505"/>
      <c r="M59" s="506"/>
      <c r="N59" s="421"/>
      <c r="O59" s="415"/>
      <c r="P59" s="518"/>
      <c r="Q59" s="519"/>
      <c r="R59" s="518"/>
      <c r="S59" s="520"/>
      <c r="T59" s="520"/>
      <c r="U59" s="519"/>
      <c r="V59" s="504"/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418" t="s">
        <v>223</v>
      </c>
      <c r="D60" s="418" t="s">
        <v>115</v>
      </c>
      <c r="E60" s="418" t="s">
        <v>257</v>
      </c>
      <c r="F60" s="504" t="s">
        <v>217</v>
      </c>
      <c r="G60" s="505"/>
      <c r="H60" s="505"/>
      <c r="I60" s="505"/>
      <c r="J60" s="505"/>
      <c r="K60" s="505"/>
      <c r="L60" s="505"/>
      <c r="M60" s="506"/>
      <c r="N60" s="421"/>
      <c r="O60" s="415"/>
      <c r="P60" s="518"/>
      <c r="Q60" s="519"/>
      <c r="R60" s="518"/>
      <c r="S60" s="520"/>
      <c r="T60" s="520"/>
      <c r="U60" s="519"/>
      <c r="V60" s="504"/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112</v>
      </c>
      <c r="B61" s="507"/>
      <c r="C61" s="418" t="s">
        <v>156</v>
      </c>
      <c r="D61" s="418" t="s">
        <v>229</v>
      </c>
      <c r="E61" s="418" t="s">
        <v>678</v>
      </c>
      <c r="F61" s="504" t="s">
        <v>123</v>
      </c>
      <c r="G61" s="505"/>
      <c r="H61" s="505"/>
      <c r="I61" s="505"/>
      <c r="J61" s="505"/>
      <c r="K61" s="505"/>
      <c r="L61" s="505"/>
      <c r="M61" s="506"/>
      <c r="N61" s="421"/>
      <c r="O61" s="415"/>
      <c r="P61" s="518"/>
      <c r="Q61" s="519"/>
      <c r="R61" s="518"/>
      <c r="S61" s="520"/>
      <c r="T61" s="520"/>
      <c r="U61" s="519"/>
      <c r="V61" s="504"/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112</v>
      </c>
      <c r="B62" s="507"/>
      <c r="C62" s="418" t="s">
        <v>148</v>
      </c>
      <c r="D62" s="418" t="s">
        <v>133</v>
      </c>
      <c r="E62" s="418" t="s">
        <v>584</v>
      </c>
      <c r="F62" s="504" t="s">
        <v>217</v>
      </c>
      <c r="G62" s="505"/>
      <c r="H62" s="505"/>
      <c r="I62" s="505"/>
      <c r="J62" s="505"/>
      <c r="K62" s="505"/>
      <c r="L62" s="505"/>
      <c r="M62" s="506"/>
      <c r="N62" s="421"/>
      <c r="O62" s="415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 t="s">
        <v>134</v>
      </c>
      <c r="B63" s="507"/>
      <c r="C63" s="418" t="s">
        <v>190</v>
      </c>
      <c r="D63" s="418" t="s">
        <v>696</v>
      </c>
      <c r="E63" s="418" t="s">
        <v>692</v>
      </c>
      <c r="F63" s="504" t="s">
        <v>123</v>
      </c>
      <c r="G63" s="505"/>
      <c r="H63" s="505"/>
      <c r="I63" s="505"/>
      <c r="J63" s="505"/>
      <c r="K63" s="505"/>
      <c r="L63" s="505"/>
      <c r="M63" s="506"/>
      <c r="N63" s="421"/>
      <c r="O63" s="415"/>
      <c r="P63" s="518"/>
      <c r="Q63" s="519"/>
      <c r="R63" s="518"/>
      <c r="S63" s="520"/>
      <c r="T63" s="520"/>
      <c r="U63" s="519"/>
      <c r="V63" s="504"/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/>
      <c r="B64" s="507"/>
      <c r="C64" s="418"/>
      <c r="D64" s="418"/>
      <c r="E64" s="418"/>
      <c r="F64" s="504"/>
      <c r="G64" s="505"/>
      <c r="H64" s="505"/>
      <c r="I64" s="505"/>
      <c r="J64" s="505"/>
      <c r="K64" s="505"/>
      <c r="L64" s="505"/>
      <c r="M64" s="506"/>
      <c r="N64" s="421"/>
      <c r="O64" s="415"/>
      <c r="P64" s="518"/>
      <c r="Q64" s="519"/>
      <c r="R64" s="518"/>
      <c r="S64" s="520"/>
      <c r="T64" s="520"/>
      <c r="U64" s="519"/>
      <c r="V64" s="491"/>
      <c r="W64" s="491"/>
      <c r="X64" s="491"/>
      <c r="Y64" s="491"/>
      <c r="Z64" s="491"/>
      <c r="AA64" s="491"/>
      <c r="AB64" s="491"/>
      <c r="AC64" s="491"/>
      <c r="AD64" s="508"/>
    </row>
    <row r="65" spans="1:32" ht="27" customHeight="1">
      <c r="A65" s="502"/>
      <c r="B65" s="503"/>
      <c r="C65" s="417"/>
      <c r="D65" s="417"/>
      <c r="E65" s="418"/>
      <c r="F65" s="504"/>
      <c r="G65" s="505"/>
      <c r="H65" s="505"/>
      <c r="I65" s="505"/>
      <c r="J65" s="505"/>
      <c r="K65" s="505"/>
      <c r="L65" s="505"/>
      <c r="M65" s="506"/>
      <c r="N65" s="421"/>
      <c r="O65" s="415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417"/>
      <c r="D66" s="417"/>
      <c r="E66" s="418"/>
      <c r="F66" s="504"/>
      <c r="G66" s="505"/>
      <c r="H66" s="505"/>
      <c r="I66" s="505"/>
      <c r="J66" s="505"/>
      <c r="K66" s="505"/>
      <c r="L66" s="505"/>
      <c r="M66" s="506"/>
      <c r="N66" s="421"/>
      <c r="O66" s="415"/>
      <c r="P66" s="507"/>
      <c r="Q66" s="507"/>
      <c r="R66" s="507"/>
      <c r="S66" s="507"/>
      <c r="T66" s="507"/>
      <c r="U66" s="507"/>
      <c r="V66" s="491"/>
      <c r="W66" s="491"/>
      <c r="X66" s="491"/>
      <c r="Y66" s="491"/>
      <c r="Z66" s="491"/>
      <c r="AA66" s="491"/>
      <c r="AB66" s="491"/>
      <c r="AC66" s="491"/>
      <c r="AD66" s="508"/>
      <c r="AF66" s="84">
        <f>8*3000</f>
        <v>24000</v>
      </c>
    </row>
    <row r="67" spans="1:32" ht="27" customHeight="1" thickBot="1">
      <c r="A67" s="509"/>
      <c r="B67" s="510"/>
      <c r="C67" s="419"/>
      <c r="D67" s="420"/>
      <c r="E67" s="419"/>
      <c r="F67" s="511"/>
      <c r="G67" s="512"/>
      <c r="H67" s="512"/>
      <c r="I67" s="512"/>
      <c r="J67" s="512"/>
      <c r="K67" s="512"/>
      <c r="L67" s="512"/>
      <c r="M67" s="513"/>
      <c r="N67" s="111"/>
      <c r="O67" s="103"/>
      <c r="P67" s="514"/>
      <c r="Q67" s="514"/>
      <c r="R67" s="514"/>
      <c r="S67" s="514"/>
      <c r="T67" s="514"/>
      <c r="U67" s="514"/>
      <c r="V67" s="515"/>
      <c r="W67" s="515"/>
      <c r="X67" s="515"/>
      <c r="Y67" s="515"/>
      <c r="Z67" s="515"/>
      <c r="AA67" s="515"/>
      <c r="AB67" s="515"/>
      <c r="AC67" s="515"/>
      <c r="AD67" s="516"/>
      <c r="AF67" s="84">
        <f>16*3000</f>
        <v>48000</v>
      </c>
    </row>
    <row r="68" spans="1:32" ht="27.75" thickBot="1">
      <c r="A68" s="500" t="s">
        <v>698</v>
      </c>
      <c r="B68" s="500"/>
      <c r="C68" s="500"/>
      <c r="D68" s="500"/>
      <c r="E68" s="500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F68" s="84">
        <v>24000</v>
      </c>
    </row>
    <row r="69" spans="1:32" ht="29.25" customHeight="1" thickBot="1">
      <c r="A69" s="501" t="s">
        <v>111</v>
      </c>
      <c r="B69" s="498"/>
      <c r="C69" s="416" t="s">
        <v>2</v>
      </c>
      <c r="D69" s="416" t="s">
        <v>37</v>
      </c>
      <c r="E69" s="416" t="s">
        <v>3</v>
      </c>
      <c r="F69" s="498" t="s">
        <v>109</v>
      </c>
      <c r="G69" s="498"/>
      <c r="H69" s="498"/>
      <c r="I69" s="498"/>
      <c r="J69" s="498"/>
      <c r="K69" s="498" t="s">
        <v>39</v>
      </c>
      <c r="L69" s="498"/>
      <c r="M69" s="416" t="s">
        <v>40</v>
      </c>
      <c r="N69" s="498" t="s">
        <v>41</v>
      </c>
      <c r="O69" s="498"/>
      <c r="P69" s="495" t="s">
        <v>42</v>
      </c>
      <c r="Q69" s="497"/>
      <c r="R69" s="495" t="s">
        <v>43</v>
      </c>
      <c r="S69" s="496"/>
      <c r="T69" s="496"/>
      <c r="U69" s="496"/>
      <c r="V69" s="496"/>
      <c r="W69" s="496"/>
      <c r="X69" s="496"/>
      <c r="Y69" s="496"/>
      <c r="Z69" s="496"/>
      <c r="AA69" s="497"/>
      <c r="AB69" s="498" t="s">
        <v>44</v>
      </c>
      <c r="AC69" s="498"/>
      <c r="AD69" s="499"/>
      <c r="AF69" s="84">
        <f>SUM(AF66:AF68)</f>
        <v>96000</v>
      </c>
    </row>
    <row r="70" spans="1:32" ht="25.5" customHeight="1">
      <c r="A70" s="486">
        <v>1</v>
      </c>
      <c r="B70" s="487"/>
      <c r="C70" s="104" t="s">
        <v>112</v>
      </c>
      <c r="D70" s="411"/>
      <c r="E70" s="414" t="s">
        <v>115</v>
      </c>
      <c r="F70" s="488" t="s">
        <v>627</v>
      </c>
      <c r="G70" s="478"/>
      <c r="H70" s="478"/>
      <c r="I70" s="478"/>
      <c r="J70" s="478"/>
      <c r="K70" s="478" t="s">
        <v>480</v>
      </c>
      <c r="L70" s="478"/>
      <c r="M70" s="51" t="s">
        <v>155</v>
      </c>
      <c r="N70" s="489" t="s">
        <v>199</v>
      </c>
      <c r="O70" s="489"/>
      <c r="P70" s="490">
        <v>250</v>
      </c>
      <c r="Q70" s="490"/>
      <c r="R70" s="491"/>
      <c r="S70" s="491"/>
      <c r="T70" s="491"/>
      <c r="U70" s="491"/>
      <c r="V70" s="491"/>
      <c r="W70" s="491"/>
      <c r="X70" s="491"/>
      <c r="Y70" s="491"/>
      <c r="Z70" s="491"/>
      <c r="AA70" s="491"/>
      <c r="AB70" s="478"/>
      <c r="AC70" s="478"/>
      <c r="AD70" s="479"/>
      <c r="AF70" s="50"/>
    </row>
    <row r="71" spans="1:32" ht="25.5" customHeight="1">
      <c r="A71" s="486">
        <v>2</v>
      </c>
      <c r="B71" s="487"/>
      <c r="C71" s="104" t="s">
        <v>112</v>
      </c>
      <c r="D71" s="411"/>
      <c r="E71" s="414" t="s">
        <v>133</v>
      </c>
      <c r="F71" s="488" t="s">
        <v>699</v>
      </c>
      <c r="G71" s="478"/>
      <c r="H71" s="478"/>
      <c r="I71" s="478"/>
      <c r="J71" s="478"/>
      <c r="K71" s="478" t="s">
        <v>127</v>
      </c>
      <c r="L71" s="478"/>
      <c r="M71" s="51" t="s">
        <v>227</v>
      </c>
      <c r="N71" s="489" t="s">
        <v>247</v>
      </c>
      <c r="O71" s="489"/>
      <c r="P71" s="490">
        <v>100</v>
      </c>
      <c r="Q71" s="490"/>
      <c r="R71" s="491" t="s">
        <v>701</v>
      </c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3</v>
      </c>
      <c r="B72" s="487"/>
      <c r="C72" s="104" t="s">
        <v>112</v>
      </c>
      <c r="D72" s="411"/>
      <c r="E72" s="414" t="s">
        <v>115</v>
      </c>
      <c r="F72" s="492" t="s">
        <v>700</v>
      </c>
      <c r="G72" s="493"/>
      <c r="H72" s="493"/>
      <c r="I72" s="493"/>
      <c r="J72" s="494"/>
      <c r="K72" s="478" t="s">
        <v>702</v>
      </c>
      <c r="L72" s="478"/>
      <c r="M72" s="51" t="s">
        <v>227</v>
      </c>
      <c r="N72" s="489" t="s">
        <v>247</v>
      </c>
      <c r="O72" s="489"/>
      <c r="P72" s="490">
        <v>100</v>
      </c>
      <c r="Q72" s="490"/>
      <c r="R72" s="491" t="s">
        <v>703</v>
      </c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4</v>
      </c>
      <c r="B73" s="487"/>
      <c r="C73" s="104"/>
      <c r="D73" s="411"/>
      <c r="E73" s="414"/>
      <c r="F73" s="492"/>
      <c r="G73" s="493"/>
      <c r="H73" s="493"/>
      <c r="I73" s="493"/>
      <c r="J73" s="494"/>
      <c r="K73" s="478"/>
      <c r="L73" s="478"/>
      <c r="M73" s="51"/>
      <c r="N73" s="489"/>
      <c r="O73" s="489"/>
      <c r="P73" s="490"/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5</v>
      </c>
      <c r="B74" s="487"/>
      <c r="C74" s="104"/>
      <c r="D74" s="411"/>
      <c r="E74" s="414"/>
      <c r="F74" s="492"/>
      <c r="G74" s="493"/>
      <c r="H74" s="493"/>
      <c r="I74" s="493"/>
      <c r="J74" s="494"/>
      <c r="K74" s="478"/>
      <c r="L74" s="478"/>
      <c r="M74" s="51"/>
      <c r="N74" s="489"/>
      <c r="O74" s="489"/>
      <c r="P74" s="490"/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6</v>
      </c>
      <c r="B75" s="487"/>
      <c r="C75" s="104"/>
      <c r="D75" s="411"/>
      <c r="E75" s="414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7</v>
      </c>
      <c r="B76" s="487"/>
      <c r="C76" s="104"/>
      <c r="D76" s="411"/>
      <c r="E76" s="414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8</v>
      </c>
      <c r="B77" s="487"/>
      <c r="C77" s="104"/>
      <c r="D77" s="411"/>
      <c r="E77" s="414"/>
      <c r="F77" s="488"/>
      <c r="G77" s="478"/>
      <c r="H77" s="478"/>
      <c r="I77" s="478"/>
      <c r="J77" s="478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9</v>
      </c>
      <c r="B78" s="487"/>
      <c r="C78" s="104"/>
      <c r="D78" s="411"/>
      <c r="E78" s="414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10</v>
      </c>
      <c r="B79" s="487"/>
      <c r="C79" s="104"/>
      <c r="D79" s="411"/>
      <c r="E79" s="414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6.25" customHeight="1" thickBot="1">
      <c r="A80" s="458" t="s">
        <v>704</v>
      </c>
      <c r="B80" s="458"/>
      <c r="C80" s="458"/>
      <c r="D80" s="458"/>
      <c r="E80" s="458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F80" s="50"/>
    </row>
    <row r="81" spans="1:32" ht="23.25" thickBot="1">
      <c r="A81" s="480" t="s">
        <v>111</v>
      </c>
      <c r="B81" s="481"/>
      <c r="C81" s="413" t="s">
        <v>2</v>
      </c>
      <c r="D81" s="413" t="s">
        <v>37</v>
      </c>
      <c r="E81" s="413" t="s">
        <v>120</v>
      </c>
      <c r="F81" s="460" t="s">
        <v>38</v>
      </c>
      <c r="G81" s="460"/>
      <c r="H81" s="460"/>
      <c r="I81" s="460"/>
      <c r="J81" s="460"/>
      <c r="K81" s="482" t="s">
        <v>58</v>
      </c>
      <c r="L81" s="483"/>
      <c r="M81" s="483"/>
      <c r="N81" s="483"/>
      <c r="O81" s="483"/>
      <c r="P81" s="483"/>
      <c r="Q81" s="483"/>
      <c r="R81" s="483"/>
      <c r="S81" s="484"/>
      <c r="T81" s="460" t="s">
        <v>49</v>
      </c>
      <c r="U81" s="460"/>
      <c r="V81" s="482" t="s">
        <v>50</v>
      </c>
      <c r="W81" s="484"/>
      <c r="X81" s="483" t="s">
        <v>51</v>
      </c>
      <c r="Y81" s="483"/>
      <c r="Z81" s="483"/>
      <c r="AA81" s="483"/>
      <c r="AB81" s="483"/>
      <c r="AC81" s="483"/>
      <c r="AD81" s="485"/>
      <c r="AF81" s="50"/>
    </row>
    <row r="82" spans="1:32" ht="33.75" customHeight="1">
      <c r="A82" s="452">
        <v>1</v>
      </c>
      <c r="B82" s="453"/>
      <c r="C82" s="412"/>
      <c r="D82" s="412"/>
      <c r="E82" s="65"/>
      <c r="F82" s="467"/>
      <c r="G82" s="468"/>
      <c r="H82" s="468"/>
      <c r="I82" s="468"/>
      <c r="J82" s="469"/>
      <c r="K82" s="470"/>
      <c r="L82" s="471"/>
      <c r="M82" s="471"/>
      <c r="N82" s="471"/>
      <c r="O82" s="471"/>
      <c r="P82" s="471"/>
      <c r="Q82" s="471"/>
      <c r="R82" s="471"/>
      <c r="S82" s="472"/>
      <c r="T82" s="473"/>
      <c r="U82" s="474"/>
      <c r="V82" s="475"/>
      <c r="W82" s="475"/>
      <c r="X82" s="476"/>
      <c r="Y82" s="476"/>
      <c r="Z82" s="476"/>
      <c r="AA82" s="476"/>
      <c r="AB82" s="476"/>
      <c r="AC82" s="476"/>
      <c r="AD82" s="477"/>
      <c r="AF82" s="50"/>
    </row>
    <row r="83" spans="1:32" ht="30" customHeight="1">
      <c r="A83" s="445">
        <f>A82+1</f>
        <v>2</v>
      </c>
      <c r="B83" s="446"/>
      <c r="C83" s="411"/>
      <c r="D83" s="411"/>
      <c r="E83" s="32"/>
      <c r="F83" s="446"/>
      <c r="G83" s="446"/>
      <c r="H83" s="446"/>
      <c r="I83" s="446"/>
      <c r="J83" s="446"/>
      <c r="K83" s="461"/>
      <c r="L83" s="462"/>
      <c r="M83" s="462"/>
      <c r="N83" s="462"/>
      <c r="O83" s="462"/>
      <c r="P83" s="462"/>
      <c r="Q83" s="462"/>
      <c r="R83" s="462"/>
      <c r="S83" s="463"/>
      <c r="T83" s="464"/>
      <c r="U83" s="464"/>
      <c r="V83" s="464"/>
      <c r="W83" s="464"/>
      <c r="X83" s="465"/>
      <c r="Y83" s="465"/>
      <c r="Z83" s="465"/>
      <c r="AA83" s="465"/>
      <c r="AB83" s="465"/>
      <c r="AC83" s="465"/>
      <c r="AD83" s="466"/>
      <c r="AF83" s="50"/>
    </row>
    <row r="84" spans="1:32" ht="30" customHeight="1">
      <c r="A84" s="445">
        <f t="shared" ref="A84:A88" si="11">A83+1</f>
        <v>3</v>
      </c>
      <c r="B84" s="446"/>
      <c r="C84" s="411"/>
      <c r="D84" s="411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si="11"/>
        <v>4</v>
      </c>
      <c r="B85" s="446"/>
      <c r="C85" s="411"/>
      <c r="D85" s="411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1"/>
        <v>5</v>
      </c>
      <c r="B86" s="446"/>
      <c r="C86" s="411"/>
      <c r="D86" s="411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1"/>
        <v>6</v>
      </c>
      <c r="B87" s="446"/>
      <c r="C87" s="411"/>
      <c r="D87" s="411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1"/>
        <v>7</v>
      </c>
      <c r="B88" s="446"/>
      <c r="C88" s="411"/>
      <c r="D88" s="411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6" thickBot="1">
      <c r="A89" s="458" t="s">
        <v>705</v>
      </c>
      <c r="B89" s="458"/>
      <c r="C89" s="458"/>
      <c r="D89" s="458"/>
      <c r="E89" s="458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F89" s="50"/>
    </row>
    <row r="90" spans="1:32" ht="30.75" customHeight="1" thickBot="1">
      <c r="A90" s="459" t="s">
        <v>111</v>
      </c>
      <c r="B90" s="460"/>
      <c r="C90" s="450" t="s">
        <v>52</v>
      </c>
      <c r="D90" s="450"/>
      <c r="E90" s="450" t="s">
        <v>53</v>
      </c>
      <c r="F90" s="450"/>
      <c r="G90" s="450"/>
      <c r="H90" s="450"/>
      <c r="I90" s="450"/>
      <c r="J90" s="450"/>
      <c r="K90" s="450" t="s">
        <v>54</v>
      </c>
      <c r="L90" s="450"/>
      <c r="M90" s="450"/>
      <c r="N90" s="450"/>
      <c r="O90" s="450"/>
      <c r="P90" s="450"/>
      <c r="Q90" s="450"/>
      <c r="R90" s="450"/>
      <c r="S90" s="450"/>
      <c r="T90" s="450" t="s">
        <v>55</v>
      </c>
      <c r="U90" s="450"/>
      <c r="V90" s="450" t="s">
        <v>56</v>
      </c>
      <c r="W90" s="450"/>
      <c r="X90" s="450"/>
      <c r="Y90" s="450" t="s">
        <v>51</v>
      </c>
      <c r="Z90" s="450"/>
      <c r="AA90" s="450"/>
      <c r="AB90" s="450"/>
      <c r="AC90" s="450"/>
      <c r="AD90" s="451"/>
      <c r="AF90" s="50"/>
    </row>
    <row r="91" spans="1:32" ht="30.75" customHeight="1">
      <c r="A91" s="452">
        <v>1</v>
      </c>
      <c r="B91" s="453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4"/>
      <c r="N91" s="454"/>
      <c r="O91" s="454"/>
      <c r="P91" s="454"/>
      <c r="Q91" s="454"/>
      <c r="R91" s="454"/>
      <c r="S91" s="454"/>
      <c r="T91" s="454"/>
      <c r="U91" s="454"/>
      <c r="V91" s="455"/>
      <c r="W91" s="455"/>
      <c r="X91" s="455"/>
      <c r="Y91" s="456"/>
      <c r="Z91" s="456"/>
      <c r="AA91" s="456"/>
      <c r="AB91" s="456"/>
      <c r="AC91" s="456"/>
      <c r="AD91" s="457"/>
      <c r="AF91" s="50"/>
    </row>
    <row r="92" spans="1:32" ht="30.75" customHeight="1">
      <c r="A92" s="445">
        <v>2</v>
      </c>
      <c r="B92" s="446"/>
      <c r="C92" s="447"/>
      <c r="D92" s="447"/>
      <c r="E92" s="447"/>
      <c r="F92" s="447"/>
      <c r="G92" s="447"/>
      <c r="H92" s="447"/>
      <c r="I92" s="447"/>
      <c r="J92" s="447"/>
      <c r="K92" s="447"/>
      <c r="L92" s="447"/>
      <c r="M92" s="447"/>
      <c r="N92" s="447"/>
      <c r="O92" s="447"/>
      <c r="P92" s="447"/>
      <c r="Q92" s="447"/>
      <c r="R92" s="447"/>
      <c r="S92" s="447"/>
      <c r="T92" s="448"/>
      <c r="U92" s="448"/>
      <c r="V92" s="449"/>
      <c r="W92" s="449"/>
      <c r="X92" s="449"/>
      <c r="Y92" s="437"/>
      <c r="Z92" s="437"/>
      <c r="AA92" s="437"/>
      <c r="AB92" s="437"/>
      <c r="AC92" s="437"/>
      <c r="AD92" s="438"/>
      <c r="AF92" s="50"/>
    </row>
    <row r="93" spans="1:32" ht="30.75" customHeight="1" thickBot="1">
      <c r="A93" s="439">
        <v>3</v>
      </c>
      <c r="B93" s="440"/>
      <c r="C93" s="441"/>
      <c r="D93" s="441"/>
      <c r="E93" s="441"/>
      <c r="F93" s="441"/>
      <c r="G93" s="441"/>
      <c r="H93" s="441"/>
      <c r="I93" s="441"/>
      <c r="J93" s="441"/>
      <c r="K93" s="441"/>
      <c r="L93" s="441"/>
      <c r="M93" s="441"/>
      <c r="N93" s="441"/>
      <c r="O93" s="441"/>
      <c r="P93" s="441"/>
      <c r="Q93" s="441"/>
      <c r="R93" s="441"/>
      <c r="S93" s="441"/>
      <c r="T93" s="441"/>
      <c r="U93" s="441"/>
      <c r="V93" s="442"/>
      <c r="W93" s="442"/>
      <c r="X93" s="442"/>
      <c r="Y93" s="443"/>
      <c r="Z93" s="443"/>
      <c r="AA93" s="443"/>
      <c r="AB93" s="443"/>
      <c r="AC93" s="443"/>
      <c r="AD93" s="444"/>
      <c r="AF93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8:H28"/>
    <mergeCell ref="A55:E55"/>
    <mergeCell ref="A56:M56"/>
    <mergeCell ref="N56:AD56"/>
    <mergeCell ref="A57:B57"/>
    <mergeCell ref="F57:M57"/>
    <mergeCell ref="P57:Q57"/>
    <mergeCell ref="R57:U57"/>
    <mergeCell ref="V57:AD57"/>
    <mergeCell ref="I4:O4"/>
    <mergeCell ref="P4:Q4"/>
    <mergeCell ref="R4:V4"/>
    <mergeCell ref="W4:AA4"/>
    <mergeCell ref="AB4:AB5"/>
    <mergeCell ref="AC4:AC5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R66:U66"/>
    <mergeCell ref="V66:AD66"/>
    <mergeCell ref="A67:B67"/>
    <mergeCell ref="F67:M67"/>
    <mergeCell ref="P67:Q67"/>
    <mergeCell ref="R67:U67"/>
    <mergeCell ref="V67:AD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8:E68"/>
    <mergeCell ref="A69:B69"/>
    <mergeCell ref="F69:J69"/>
    <mergeCell ref="K69:L69"/>
    <mergeCell ref="N69:O69"/>
    <mergeCell ref="P69:Q69"/>
    <mergeCell ref="A66:B66"/>
    <mergeCell ref="F66:M66"/>
    <mergeCell ref="P66:Q66"/>
    <mergeCell ref="R69:AA69"/>
    <mergeCell ref="AB69:AD69"/>
    <mergeCell ref="A70:B70"/>
    <mergeCell ref="F70:J70"/>
    <mergeCell ref="K70:L70"/>
    <mergeCell ref="N70:O70"/>
    <mergeCell ref="P70:Q70"/>
    <mergeCell ref="R70:AA70"/>
    <mergeCell ref="AB70:AD70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B78"/>
    <mergeCell ref="F78:J78"/>
    <mergeCell ref="K78:L78"/>
    <mergeCell ref="N78:O78"/>
    <mergeCell ref="P78:Q78"/>
    <mergeCell ref="R78:AA78"/>
    <mergeCell ref="AB78:AD78"/>
    <mergeCell ref="A77:B77"/>
    <mergeCell ref="F77:J77"/>
    <mergeCell ref="K77:L77"/>
    <mergeCell ref="N77:O77"/>
    <mergeCell ref="P77:Q77"/>
    <mergeCell ref="R77:AA77"/>
    <mergeCell ref="AB79:AD79"/>
    <mergeCell ref="A80:E80"/>
    <mergeCell ref="A81:B81"/>
    <mergeCell ref="F81:J81"/>
    <mergeCell ref="K81:S81"/>
    <mergeCell ref="T81:U81"/>
    <mergeCell ref="V81:W81"/>
    <mergeCell ref="X81:AD81"/>
    <mergeCell ref="A79:B79"/>
    <mergeCell ref="F79:J79"/>
    <mergeCell ref="K79:L79"/>
    <mergeCell ref="N79:O79"/>
    <mergeCell ref="P79:Q79"/>
    <mergeCell ref="R79:AA79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9:E89"/>
    <mergeCell ref="A90:B90"/>
    <mergeCell ref="C90:D90"/>
    <mergeCell ref="E90:J90"/>
    <mergeCell ref="K90:S90"/>
    <mergeCell ref="T90:U90"/>
    <mergeCell ref="A88:B88"/>
    <mergeCell ref="F88:J88"/>
    <mergeCell ref="K88:S88"/>
    <mergeCell ref="T88:U88"/>
    <mergeCell ref="V90:X90"/>
    <mergeCell ref="Y90:AD90"/>
    <mergeCell ref="A91:B91"/>
    <mergeCell ref="C91:D91"/>
    <mergeCell ref="E91:J91"/>
    <mergeCell ref="K91:S91"/>
    <mergeCell ref="T91:U91"/>
    <mergeCell ref="V91:X91"/>
    <mergeCell ref="Y91:AD91"/>
    <mergeCell ref="Y92:AD92"/>
    <mergeCell ref="A93:B93"/>
    <mergeCell ref="C93:D93"/>
    <mergeCell ref="E93:J93"/>
    <mergeCell ref="K93:S93"/>
    <mergeCell ref="T93:U93"/>
    <mergeCell ref="V93:X93"/>
    <mergeCell ref="Y93:AD93"/>
    <mergeCell ref="A92:B92"/>
    <mergeCell ref="C92:D92"/>
    <mergeCell ref="E92:J92"/>
    <mergeCell ref="K92:S92"/>
    <mergeCell ref="T92:U92"/>
    <mergeCell ref="V92:X92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r:id="rId1"/>
  <rowBreaks count="1" manualBreakCount="1">
    <brk id="53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55AE-A37B-488F-97D7-3913645D1350}">
  <sheetPr>
    <pageSetUpPr fitToPage="1"/>
  </sheetPr>
  <dimension ref="A1:AF94"/>
  <sheetViews>
    <sheetView tabSelected="1" view="pageBreakPreview" zoomScale="70" zoomScaleNormal="72" zoomScaleSheetLayoutView="70" workbookViewId="0">
      <selection activeCell="K86" sqref="K86:S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49" t="s">
        <v>706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49"/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0"/>
      <c r="B3" s="550"/>
      <c r="C3" s="550"/>
      <c r="D3" s="550"/>
      <c r="E3" s="550"/>
      <c r="F3" s="550"/>
      <c r="G3" s="550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1" t="s">
        <v>0</v>
      </c>
      <c r="B4" s="553" t="s">
        <v>1</v>
      </c>
      <c r="C4" s="553" t="s">
        <v>2</v>
      </c>
      <c r="D4" s="556" t="s">
        <v>3</v>
      </c>
      <c r="E4" s="558" t="s">
        <v>4</v>
      </c>
      <c r="F4" s="556" t="s">
        <v>5</v>
      </c>
      <c r="G4" s="553" t="s">
        <v>6</v>
      </c>
      <c r="H4" s="559" t="s">
        <v>7</v>
      </c>
      <c r="I4" s="539" t="s">
        <v>8</v>
      </c>
      <c r="J4" s="540"/>
      <c r="K4" s="540"/>
      <c r="L4" s="540"/>
      <c r="M4" s="540"/>
      <c r="N4" s="540"/>
      <c r="O4" s="541"/>
      <c r="P4" s="542" t="s">
        <v>9</v>
      </c>
      <c r="Q4" s="543"/>
      <c r="R4" s="544" t="s">
        <v>10</v>
      </c>
      <c r="S4" s="545"/>
      <c r="T4" s="545"/>
      <c r="U4" s="545"/>
      <c r="V4" s="546"/>
      <c r="W4" s="545" t="s">
        <v>11</v>
      </c>
      <c r="X4" s="545"/>
      <c r="Y4" s="545"/>
      <c r="Z4" s="545"/>
      <c r="AA4" s="546"/>
      <c r="AB4" s="547" t="s">
        <v>12</v>
      </c>
      <c r="AC4" s="521" t="s">
        <v>13</v>
      </c>
      <c r="AD4" s="521" t="s">
        <v>14</v>
      </c>
      <c r="AE4" s="54"/>
    </row>
    <row r="5" spans="1:32" ht="51" customHeight="1" thickBot="1">
      <c r="A5" s="552"/>
      <c r="B5" s="554"/>
      <c r="C5" s="555"/>
      <c r="D5" s="557"/>
      <c r="E5" s="557"/>
      <c r="F5" s="557"/>
      <c r="G5" s="554"/>
      <c r="H5" s="560"/>
      <c r="I5" s="55" t="s">
        <v>15</v>
      </c>
      <c r="J5" s="56" t="s">
        <v>16</v>
      </c>
      <c r="K5" s="424" t="s">
        <v>17</v>
      </c>
      <c r="L5" s="424" t="s">
        <v>18</v>
      </c>
      <c r="M5" s="424" t="s">
        <v>19</v>
      </c>
      <c r="N5" s="42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7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48"/>
      <c r="AC5" s="522"/>
      <c r="AD5" s="522"/>
      <c r="AE5" s="54"/>
    </row>
    <row r="6" spans="1:32" ht="27" customHeight="1">
      <c r="A6" s="112">
        <v>1</v>
      </c>
      <c r="B6" s="11" t="s">
        <v>57</v>
      </c>
      <c r="C6" s="34" t="s">
        <v>112</v>
      </c>
      <c r="D6" s="52" t="s">
        <v>229</v>
      </c>
      <c r="E6" s="53" t="s">
        <v>603</v>
      </c>
      <c r="F6" s="30" t="s">
        <v>211</v>
      </c>
      <c r="G6" s="12">
        <v>2</v>
      </c>
      <c r="H6" s="13">
        <v>24</v>
      </c>
      <c r="I6" s="31">
        <v>48000</v>
      </c>
      <c r="J6" s="14">
        <v>4560</v>
      </c>
      <c r="K6" s="15">
        <f>L6+6668+7564+10962+11122+10400+11088</f>
        <v>62364</v>
      </c>
      <c r="L6" s="15">
        <f>2280*2</f>
        <v>4560</v>
      </c>
      <c r="M6" s="15">
        <f t="shared" ref="M6:M28" si="0">L6-N6</f>
        <v>4560</v>
      </c>
      <c r="N6" s="15">
        <v>0</v>
      </c>
      <c r="O6" s="58">
        <f t="shared" ref="O6:O29" si="1">IF(L6=0,"0",N6/L6)</f>
        <v>0</v>
      </c>
      <c r="P6" s="39">
        <f t="shared" ref="P6:P28" si="2">IF(L6=0,"0",(24-Q6))</f>
        <v>9</v>
      </c>
      <c r="Q6" s="40">
        <f t="shared" ref="Q6:Q28" si="3">SUM(R6:AA6)</f>
        <v>15</v>
      </c>
      <c r="R6" s="7"/>
      <c r="S6" s="6"/>
      <c r="T6" s="16"/>
      <c r="U6" s="16"/>
      <c r="V6" s="17"/>
      <c r="W6" s="5">
        <v>15</v>
      </c>
      <c r="X6" s="16"/>
      <c r="Y6" s="16"/>
      <c r="Z6" s="16"/>
      <c r="AA6" s="18"/>
      <c r="AB6" s="8">
        <f t="shared" ref="AB6:AB28" si="4">IF(J6=0,"0",(L6/J6))</f>
        <v>1</v>
      </c>
      <c r="AC6" s="9">
        <f t="shared" ref="AC6:AC28" si="5">IF(P6=0,"0",(P6/24))</f>
        <v>0.375</v>
      </c>
      <c r="AD6" s="10">
        <f t="shared" ref="AD6:AD28" si="6">AC6*AB6*(1-O6)</f>
        <v>0.375</v>
      </c>
      <c r="AE6" s="36">
        <f>$AD$29</f>
        <v>0.30072463768115942</v>
      </c>
      <c r="AF6" s="84">
        <f t="shared" ref="AF6:AF28" si="7">A6</f>
        <v>1</v>
      </c>
    </row>
    <row r="7" spans="1:32" ht="27" customHeight="1">
      <c r="A7" s="112">
        <v>1</v>
      </c>
      <c r="B7" s="11" t="s">
        <v>57</v>
      </c>
      <c r="C7" s="34" t="s">
        <v>112</v>
      </c>
      <c r="D7" s="52" t="s">
        <v>229</v>
      </c>
      <c r="E7" s="53" t="s">
        <v>659</v>
      </c>
      <c r="F7" s="30" t="s">
        <v>211</v>
      </c>
      <c r="G7" s="12">
        <v>1</v>
      </c>
      <c r="H7" s="13">
        <v>24</v>
      </c>
      <c r="I7" s="31">
        <v>5000</v>
      </c>
      <c r="J7" s="14">
        <v>2483</v>
      </c>
      <c r="K7" s="15">
        <f>L7</f>
        <v>2483</v>
      </c>
      <c r="L7" s="15">
        <v>2483</v>
      </c>
      <c r="M7" s="15">
        <f t="shared" ref="M7" si="8">L7-N7</f>
        <v>2483</v>
      </c>
      <c r="N7" s="15">
        <v>0</v>
      </c>
      <c r="O7" s="58">
        <f t="shared" ref="O7" si="9">IF(L7=0,"0",N7/L7)</f>
        <v>0</v>
      </c>
      <c r="P7" s="39">
        <f t="shared" ref="P7" si="10">IF(L7=0,"0",(24-Q7))</f>
        <v>12</v>
      </c>
      <c r="Q7" s="40">
        <f t="shared" ref="Q7" si="11">SUM(R7:AA7)</f>
        <v>12</v>
      </c>
      <c r="R7" s="7"/>
      <c r="S7" s="6"/>
      <c r="T7" s="16">
        <v>12</v>
      </c>
      <c r="U7" s="16"/>
      <c r="V7" s="17"/>
      <c r="W7" s="5"/>
      <c r="X7" s="16"/>
      <c r="Y7" s="16"/>
      <c r="Z7" s="16"/>
      <c r="AA7" s="18"/>
      <c r="AB7" s="8">
        <f t="shared" ref="AB7" si="12">IF(J7=0,"0",(L7/J7))</f>
        <v>1</v>
      </c>
      <c r="AC7" s="9">
        <f t="shared" ref="AC7" si="13">IF(P7=0,"0",(P7/24))</f>
        <v>0.5</v>
      </c>
      <c r="AD7" s="10">
        <f t="shared" ref="AD7" si="14">AC7*AB7*(1-O7)</f>
        <v>0.5</v>
      </c>
      <c r="AE7" s="36">
        <f>$AD$29</f>
        <v>0.30072463768115942</v>
      </c>
      <c r="AF7" s="84">
        <f t="shared" ref="AF7" si="15">A7</f>
        <v>1</v>
      </c>
    </row>
    <row r="8" spans="1:32" ht="27" customHeight="1">
      <c r="A8" s="112">
        <v>2</v>
      </c>
      <c r="B8" s="11" t="s">
        <v>57</v>
      </c>
      <c r="C8" s="34" t="s">
        <v>116</v>
      </c>
      <c r="D8" s="52" t="s">
        <v>121</v>
      </c>
      <c r="E8" s="53" t="s">
        <v>132</v>
      </c>
      <c r="F8" s="30" t="s">
        <v>128</v>
      </c>
      <c r="G8" s="12">
        <v>4</v>
      </c>
      <c r="H8" s="13">
        <v>24</v>
      </c>
      <c r="I8" s="31">
        <v>20000</v>
      </c>
      <c r="J8" s="14">
        <v>20492</v>
      </c>
      <c r="K8" s="15">
        <f>L8</f>
        <v>20492</v>
      </c>
      <c r="L8" s="15">
        <f>3829*4+1294*4</f>
        <v>20492</v>
      </c>
      <c r="M8" s="15">
        <f t="shared" si="0"/>
        <v>20492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/>
      <c r="T8" s="16">
        <v>3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>$AD$29</f>
        <v>0.30072463768115942</v>
      </c>
      <c r="AF8" s="84">
        <f t="shared" si="7"/>
        <v>2</v>
      </c>
    </row>
    <row r="9" spans="1:32" ht="27" customHeight="1">
      <c r="A9" s="112">
        <v>3</v>
      </c>
      <c r="B9" s="11" t="s">
        <v>57</v>
      </c>
      <c r="C9" s="34" t="s">
        <v>134</v>
      </c>
      <c r="D9" s="52" t="s">
        <v>115</v>
      </c>
      <c r="E9" s="53" t="s">
        <v>495</v>
      </c>
      <c r="F9" s="30" t="s">
        <v>135</v>
      </c>
      <c r="G9" s="12">
        <v>2</v>
      </c>
      <c r="H9" s="13">
        <v>24</v>
      </c>
      <c r="I9" s="7">
        <v>20000</v>
      </c>
      <c r="J9" s="14">
        <v>12072</v>
      </c>
      <c r="K9" s="15">
        <f>L9+11212+10752+12072</f>
        <v>34036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>$AD$29</f>
        <v>0.30072463768115942</v>
      </c>
      <c r="AF9" s="84">
        <f t="shared" si="7"/>
        <v>3</v>
      </c>
    </row>
    <row r="10" spans="1:32" ht="27" customHeight="1">
      <c r="A10" s="96">
        <v>4</v>
      </c>
      <c r="B10" s="11" t="s">
        <v>57</v>
      </c>
      <c r="C10" s="34" t="s">
        <v>116</v>
      </c>
      <c r="D10" s="52" t="s">
        <v>229</v>
      </c>
      <c r="E10" s="53" t="s">
        <v>622</v>
      </c>
      <c r="F10" s="30" t="s">
        <v>127</v>
      </c>
      <c r="G10" s="12">
        <v>1</v>
      </c>
      <c r="H10" s="13">
        <v>24</v>
      </c>
      <c r="I10" s="7">
        <v>1500</v>
      </c>
      <c r="J10" s="14">
        <v>5029</v>
      </c>
      <c r="K10" s="15">
        <f>L10+2933+5029</f>
        <v>7962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>$AD$29</f>
        <v>0.30072463768115942</v>
      </c>
      <c r="AF10" s="84">
        <f t="shared" si="7"/>
        <v>4</v>
      </c>
    </row>
    <row r="11" spans="1:32" ht="27" customHeight="1">
      <c r="A11" s="96">
        <v>5</v>
      </c>
      <c r="B11" s="11" t="s">
        <v>57</v>
      </c>
      <c r="C11" s="11" t="s">
        <v>112</v>
      </c>
      <c r="D11" s="52" t="s">
        <v>300</v>
      </c>
      <c r="E11" s="53" t="s">
        <v>683</v>
      </c>
      <c r="F11" s="30" t="s">
        <v>136</v>
      </c>
      <c r="G11" s="33">
        <v>2</v>
      </c>
      <c r="H11" s="35">
        <v>24</v>
      </c>
      <c r="I11" s="7">
        <v>10000</v>
      </c>
      <c r="J11" s="14">
        <v>7314</v>
      </c>
      <c r="K11" s="15">
        <f>L11</f>
        <v>7314</v>
      </c>
      <c r="L11" s="15">
        <f>267*2+3390*2</f>
        <v>7314</v>
      </c>
      <c r="M11" s="15">
        <f t="shared" si="0"/>
        <v>7314</v>
      </c>
      <c r="N11" s="15">
        <v>0</v>
      </c>
      <c r="O11" s="58">
        <f t="shared" si="1"/>
        <v>0</v>
      </c>
      <c r="P11" s="39">
        <f t="shared" si="2"/>
        <v>17</v>
      </c>
      <c r="Q11" s="40">
        <f t="shared" si="3"/>
        <v>7</v>
      </c>
      <c r="R11" s="7"/>
      <c r="S11" s="6"/>
      <c r="T11" s="16"/>
      <c r="U11" s="16"/>
      <c r="V11" s="17">
        <v>7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0.70833333333333337</v>
      </c>
      <c r="AD11" s="10">
        <f t="shared" si="6"/>
        <v>0.70833333333333337</v>
      </c>
      <c r="AE11" s="36">
        <f>$AD$29</f>
        <v>0.30072463768115942</v>
      </c>
      <c r="AF11" s="84">
        <f t="shared" si="7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121</v>
      </c>
      <c r="E12" s="53" t="s">
        <v>672</v>
      </c>
      <c r="F12" s="30" t="s">
        <v>136</v>
      </c>
      <c r="G12" s="33">
        <v>1</v>
      </c>
      <c r="H12" s="35">
        <v>24</v>
      </c>
      <c r="I12" s="7">
        <v>4000</v>
      </c>
      <c r="J12" s="14">
        <v>2001</v>
      </c>
      <c r="K12" s="15">
        <f>L12+2816+2001</f>
        <v>4817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>$AD$29</f>
        <v>0.30072463768115942</v>
      </c>
      <c r="AF12" s="84">
        <f t="shared" si="7"/>
        <v>6</v>
      </c>
    </row>
    <row r="13" spans="1:32" ht="27" customHeight="1">
      <c r="A13" s="96">
        <v>7</v>
      </c>
      <c r="B13" s="11" t="s">
        <v>57</v>
      </c>
      <c r="C13" s="34" t="s">
        <v>112</v>
      </c>
      <c r="D13" s="52" t="s">
        <v>115</v>
      </c>
      <c r="E13" s="53" t="s">
        <v>623</v>
      </c>
      <c r="F13" s="30" t="s">
        <v>126</v>
      </c>
      <c r="G13" s="12">
        <v>1</v>
      </c>
      <c r="H13" s="13">
        <v>22</v>
      </c>
      <c r="I13" s="31">
        <v>32000</v>
      </c>
      <c r="J13" s="5">
        <v>3607</v>
      </c>
      <c r="K13" s="15">
        <f>L13+2140+2088+3960+1869+3592</f>
        <v>17256</v>
      </c>
      <c r="L13" s="15">
        <f>1756+1851</f>
        <v>3607</v>
      </c>
      <c r="M13" s="15">
        <f t="shared" si="0"/>
        <v>3607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6">
        <f>$AD$29</f>
        <v>0.30072463768115942</v>
      </c>
      <c r="AF13" s="84">
        <f t="shared" si="7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133</v>
      </c>
      <c r="E14" s="53" t="s">
        <v>621</v>
      </c>
      <c r="F14" s="30" t="s">
        <v>154</v>
      </c>
      <c r="G14" s="33">
        <v>1</v>
      </c>
      <c r="H14" s="35">
        <v>22</v>
      </c>
      <c r="I14" s="7">
        <f>32000</f>
        <v>32000</v>
      </c>
      <c r="J14" s="14">
        <v>3081</v>
      </c>
      <c r="K14" s="15">
        <f>L14+3081</f>
        <v>3081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>$AD$29</f>
        <v>0.30072463768115942</v>
      </c>
      <c r="AF14" s="84">
        <f t="shared" si="7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257</v>
      </c>
      <c r="F15" s="30" t="s">
        <v>230</v>
      </c>
      <c r="G15" s="33">
        <v>1</v>
      </c>
      <c r="H15" s="35">
        <v>30</v>
      </c>
      <c r="I15" s="7">
        <v>200</v>
      </c>
      <c r="J15" s="5">
        <v>313</v>
      </c>
      <c r="K15" s="15">
        <f>L15+313</f>
        <v>313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>$AD$29</f>
        <v>0.30072463768115942</v>
      </c>
      <c r="AF15" s="84">
        <f t="shared" si="7"/>
        <v>9</v>
      </c>
    </row>
    <row r="16" spans="1:32" ht="27" customHeight="1">
      <c r="A16" s="95">
        <v>10</v>
      </c>
      <c r="B16" s="11" t="s">
        <v>57</v>
      </c>
      <c r="C16" s="34" t="s">
        <v>116</v>
      </c>
      <c r="D16" s="52" t="s">
        <v>121</v>
      </c>
      <c r="E16" s="53" t="s">
        <v>132</v>
      </c>
      <c r="F16" s="30" t="s">
        <v>128</v>
      </c>
      <c r="G16" s="12">
        <v>4</v>
      </c>
      <c r="H16" s="13">
        <v>24</v>
      </c>
      <c r="I16" s="31">
        <v>52000</v>
      </c>
      <c r="J16" s="14">
        <v>76</v>
      </c>
      <c r="K16" s="15">
        <f>L16+17004+25452+26300</f>
        <v>68756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>$AD$29</f>
        <v>0.30072463768115942</v>
      </c>
      <c r="AF16" s="84">
        <f t="shared" si="7"/>
        <v>10</v>
      </c>
    </row>
    <row r="17" spans="1:32" ht="27" customHeight="1">
      <c r="A17" s="112">
        <v>11</v>
      </c>
      <c r="B17" s="11" t="s">
        <v>57</v>
      </c>
      <c r="C17" s="34" t="s">
        <v>112</v>
      </c>
      <c r="D17" s="52" t="s">
        <v>115</v>
      </c>
      <c r="E17" s="53" t="s">
        <v>657</v>
      </c>
      <c r="F17" s="30" t="s">
        <v>149</v>
      </c>
      <c r="G17" s="12">
        <v>1</v>
      </c>
      <c r="H17" s="13">
        <v>24</v>
      </c>
      <c r="I17" s="7">
        <v>3200</v>
      </c>
      <c r="J17" s="14">
        <v>5780</v>
      </c>
      <c r="K17" s="15">
        <f>L17+5781</f>
        <v>5781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>$AD$29</f>
        <v>0.30072463768115942</v>
      </c>
      <c r="AF17" s="84">
        <f t="shared" si="7"/>
        <v>11</v>
      </c>
    </row>
    <row r="18" spans="1:32" ht="27" customHeight="1">
      <c r="A18" s="95">
        <v>12</v>
      </c>
      <c r="B18" s="11" t="s">
        <v>57</v>
      </c>
      <c r="C18" s="34" t="s">
        <v>134</v>
      </c>
      <c r="D18" s="52" t="s">
        <v>229</v>
      </c>
      <c r="E18" s="53" t="s">
        <v>707</v>
      </c>
      <c r="F18" s="30" t="s">
        <v>479</v>
      </c>
      <c r="G18" s="12">
        <v>1</v>
      </c>
      <c r="H18" s="13">
        <v>24</v>
      </c>
      <c r="I18" s="7">
        <v>2000</v>
      </c>
      <c r="J18" s="14">
        <v>3610</v>
      </c>
      <c r="K18" s="15">
        <f>L18</f>
        <v>3610</v>
      </c>
      <c r="L18" s="15">
        <f>479+2909+222</f>
        <v>3610</v>
      </c>
      <c r="M18" s="15">
        <f t="shared" si="0"/>
        <v>3610</v>
      </c>
      <c r="N18" s="15">
        <v>0</v>
      </c>
      <c r="O18" s="58">
        <f t="shared" si="1"/>
        <v>0</v>
      </c>
      <c r="P18" s="39">
        <f t="shared" si="2"/>
        <v>19</v>
      </c>
      <c r="Q18" s="40">
        <f t="shared" si="3"/>
        <v>5</v>
      </c>
      <c r="R18" s="7"/>
      <c r="S18" s="6">
        <v>5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0.79166666666666663</v>
      </c>
      <c r="AD18" s="10">
        <f t="shared" si="6"/>
        <v>0.79166666666666663</v>
      </c>
      <c r="AE18" s="36">
        <f>$AD$29</f>
        <v>0.30072463768115942</v>
      </c>
      <c r="AF18" s="84">
        <f t="shared" si="7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133</v>
      </c>
      <c r="E19" s="53" t="s">
        <v>584</v>
      </c>
      <c r="F19" s="30" t="s">
        <v>127</v>
      </c>
      <c r="G19" s="33">
        <v>1</v>
      </c>
      <c r="H19" s="35">
        <v>24</v>
      </c>
      <c r="I19" s="7">
        <v>47000</v>
      </c>
      <c r="J19" s="14">
        <v>1726</v>
      </c>
      <c r="K19" s="15">
        <f>L19+10388+1789+7588+12212+11294+7402</f>
        <v>52399</v>
      </c>
      <c r="L19" s="15">
        <f>863*2</f>
        <v>1726</v>
      </c>
      <c r="M19" s="15">
        <f t="shared" si="0"/>
        <v>1726</v>
      </c>
      <c r="N19" s="15">
        <v>0</v>
      </c>
      <c r="O19" s="58">
        <f t="shared" si="1"/>
        <v>0</v>
      </c>
      <c r="P19" s="39">
        <f t="shared" si="2"/>
        <v>6</v>
      </c>
      <c r="Q19" s="40">
        <f t="shared" si="3"/>
        <v>18</v>
      </c>
      <c r="R19" s="7"/>
      <c r="S19" s="6">
        <v>18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6">
        <f>$AD$29</f>
        <v>0.30072463768115942</v>
      </c>
      <c r="AF19" s="84">
        <f t="shared" si="7"/>
        <v>13</v>
      </c>
    </row>
    <row r="20" spans="1:32" ht="27" customHeight="1">
      <c r="A20" s="96">
        <v>14</v>
      </c>
      <c r="B20" s="11" t="s">
        <v>57</v>
      </c>
      <c r="C20" s="11" t="s">
        <v>134</v>
      </c>
      <c r="D20" s="52" t="s">
        <v>691</v>
      </c>
      <c r="E20" s="53" t="s">
        <v>692</v>
      </c>
      <c r="F20" s="30" t="s">
        <v>127</v>
      </c>
      <c r="G20" s="33">
        <v>2</v>
      </c>
      <c r="H20" s="35">
        <v>24</v>
      </c>
      <c r="I20" s="7">
        <v>6000</v>
      </c>
      <c r="J20" s="14">
        <v>7710</v>
      </c>
      <c r="K20" s="15">
        <f>L20+6368</f>
        <v>14078</v>
      </c>
      <c r="L20" s="15">
        <f>1950*2+1905*2</f>
        <v>7710</v>
      </c>
      <c r="M20" s="15">
        <f t="shared" si="0"/>
        <v>7710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>$AD$29</f>
        <v>0.30072463768115942</v>
      </c>
      <c r="AF20" s="84">
        <f t="shared" si="7"/>
        <v>14</v>
      </c>
    </row>
    <row r="21" spans="1:32" ht="27" customHeight="1">
      <c r="A21" s="112">
        <v>15</v>
      </c>
      <c r="B21" s="11" t="s">
        <v>57</v>
      </c>
      <c r="C21" s="11" t="s">
        <v>112</v>
      </c>
      <c r="D21" s="52" t="s">
        <v>133</v>
      </c>
      <c r="E21" s="53" t="s">
        <v>621</v>
      </c>
      <c r="F21" s="30" t="s">
        <v>154</v>
      </c>
      <c r="G21" s="33">
        <v>1</v>
      </c>
      <c r="H21" s="35">
        <v>24</v>
      </c>
      <c r="I21" s="7">
        <v>32000</v>
      </c>
      <c r="J21" s="14">
        <v>4990</v>
      </c>
      <c r="K21" s="15">
        <f>L21+3118</f>
        <v>8108</v>
      </c>
      <c r="L21" s="15">
        <f>2562+2428</f>
        <v>4990</v>
      </c>
      <c r="M21" s="15">
        <f t="shared" si="0"/>
        <v>4990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>$AD$29</f>
        <v>0.30072463768115942</v>
      </c>
      <c r="AF21" s="84">
        <f t="shared" si="7"/>
        <v>15</v>
      </c>
    </row>
    <row r="22" spans="1:32" ht="26.25" customHeight="1">
      <c r="A22" s="96">
        <v>16</v>
      </c>
      <c r="B22" s="11" t="s">
        <v>57</v>
      </c>
      <c r="C22" s="11" t="s">
        <v>113</v>
      </c>
      <c r="D22" s="52"/>
      <c r="E22" s="53" t="s">
        <v>131</v>
      </c>
      <c r="F22" s="12" t="s">
        <v>114</v>
      </c>
      <c r="G22" s="12">
        <v>4</v>
      </c>
      <c r="H22" s="35">
        <v>20</v>
      </c>
      <c r="I22" s="7">
        <v>1000000</v>
      </c>
      <c r="J22" s="14">
        <v>32292</v>
      </c>
      <c r="K22" s="15">
        <f>L22+50740+61508+62116+62068+58848+54656+61696+61724+33064+28160+54396+62000+61828+61480+59956+61580+19568+54948+62132+27348+33480</f>
        <v>1125588</v>
      </c>
      <c r="L22" s="15">
        <f>7034*4+1039*4</f>
        <v>32292</v>
      </c>
      <c r="M22" s="15">
        <f t="shared" si="0"/>
        <v>32292</v>
      </c>
      <c r="N22" s="15">
        <v>0</v>
      </c>
      <c r="O22" s="58">
        <f t="shared" si="1"/>
        <v>0</v>
      </c>
      <c r="P22" s="39">
        <f t="shared" si="2"/>
        <v>14</v>
      </c>
      <c r="Q22" s="40">
        <f t="shared" si="3"/>
        <v>10</v>
      </c>
      <c r="R22" s="7"/>
      <c r="S22" s="6"/>
      <c r="T22" s="16"/>
      <c r="U22" s="16"/>
      <c r="V22" s="17">
        <v>10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0.58333333333333337</v>
      </c>
      <c r="AD22" s="10">
        <f t="shared" si="6"/>
        <v>0.58333333333333337</v>
      </c>
      <c r="AE22" s="36">
        <f>$AD$29</f>
        <v>0.30072463768115942</v>
      </c>
      <c r="AF22" s="84">
        <f t="shared" si="7"/>
        <v>16</v>
      </c>
    </row>
    <row r="23" spans="1:32" ht="18.75">
      <c r="A23" s="96">
        <v>31</v>
      </c>
      <c r="B23" s="11" t="s">
        <v>57</v>
      </c>
      <c r="C23" s="11"/>
      <c r="D23" s="52"/>
      <c r="E23" s="53"/>
      <c r="F23" s="12"/>
      <c r="G23" s="12"/>
      <c r="H23" s="35">
        <v>20</v>
      </c>
      <c r="I23" s="7"/>
      <c r="J23" s="14">
        <v>0</v>
      </c>
      <c r="K23" s="15">
        <f>L23</f>
        <v>0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/>
      <c r="T23" s="16"/>
      <c r="U23" s="16"/>
      <c r="V23" s="17"/>
      <c r="W23" s="5">
        <v>24</v>
      </c>
      <c r="X23" s="16"/>
      <c r="Y23" s="16"/>
      <c r="Z23" s="16"/>
      <c r="AA23" s="18"/>
      <c r="AB23" s="8" t="str">
        <f t="shared" si="4"/>
        <v>0</v>
      </c>
      <c r="AC23" s="9">
        <f t="shared" si="5"/>
        <v>0</v>
      </c>
      <c r="AD23" s="10">
        <f t="shared" si="6"/>
        <v>0</v>
      </c>
      <c r="AE23" s="36">
        <f>$AD$29</f>
        <v>0.30072463768115942</v>
      </c>
      <c r="AF23" s="84">
        <f t="shared" si="7"/>
        <v>31</v>
      </c>
    </row>
    <row r="24" spans="1:32" ht="18.75">
      <c r="A24" s="96">
        <v>32</v>
      </c>
      <c r="B24" s="11" t="s">
        <v>57</v>
      </c>
      <c r="C24" s="11"/>
      <c r="D24" s="52"/>
      <c r="E24" s="53"/>
      <c r="F24" s="12"/>
      <c r="G24" s="12"/>
      <c r="H24" s="35">
        <v>20</v>
      </c>
      <c r="I24" s="7"/>
      <c r="J24" s="14">
        <v>0</v>
      </c>
      <c r="K24" s="15">
        <f>L24</f>
        <v>0</v>
      </c>
      <c r="L24" s="15"/>
      <c r="M24" s="15">
        <f t="shared" si="0"/>
        <v>0</v>
      </c>
      <c r="N24" s="15">
        <v>0</v>
      </c>
      <c r="O24" s="58" t="str">
        <f t="shared" si="1"/>
        <v>0</v>
      </c>
      <c r="P24" s="39" t="str">
        <f t="shared" si="2"/>
        <v>0</v>
      </c>
      <c r="Q24" s="40">
        <f t="shared" si="3"/>
        <v>24</v>
      </c>
      <c r="R24" s="7"/>
      <c r="S24" s="6"/>
      <c r="T24" s="16"/>
      <c r="U24" s="16"/>
      <c r="V24" s="17"/>
      <c r="W24" s="5">
        <v>24</v>
      </c>
      <c r="X24" s="16"/>
      <c r="Y24" s="16"/>
      <c r="Z24" s="16"/>
      <c r="AA24" s="18"/>
      <c r="AB24" s="8" t="str">
        <f t="shared" si="4"/>
        <v>0</v>
      </c>
      <c r="AC24" s="9">
        <f t="shared" si="5"/>
        <v>0</v>
      </c>
      <c r="AD24" s="10">
        <f t="shared" si="6"/>
        <v>0</v>
      </c>
      <c r="AE24" s="36">
        <f>$AD$29</f>
        <v>0.30072463768115942</v>
      </c>
      <c r="AF24" s="84">
        <f t="shared" si="7"/>
        <v>32</v>
      </c>
    </row>
    <row r="25" spans="1:32" ht="18.75">
      <c r="A25" s="96">
        <v>33</v>
      </c>
      <c r="B25" s="11" t="s">
        <v>57</v>
      </c>
      <c r="C25" s="11" t="s">
        <v>116</v>
      </c>
      <c r="D25" s="52" t="s">
        <v>137</v>
      </c>
      <c r="E25" s="53" t="s">
        <v>140</v>
      </c>
      <c r="F25" s="12" t="s">
        <v>136</v>
      </c>
      <c r="G25" s="12">
        <v>1</v>
      </c>
      <c r="H25" s="35">
        <v>20</v>
      </c>
      <c r="I25" s="7">
        <v>140000</v>
      </c>
      <c r="J25" s="14">
        <v>3244</v>
      </c>
      <c r="K25" s="15">
        <f>L25+4387+7770+5806+7905+7479+7369+7360+2397+6904+7208+7013+6976+6992+2652+6495+7026+7051+7084+4297+6519+7042+3244</f>
        <v>136976</v>
      </c>
      <c r="L25" s="15"/>
      <c r="M25" s="15">
        <f t="shared" si="0"/>
        <v>0</v>
      </c>
      <c r="N25" s="15">
        <v>0</v>
      </c>
      <c r="O25" s="58" t="str">
        <f t="shared" si="1"/>
        <v>0</v>
      </c>
      <c r="P25" s="39" t="str">
        <f t="shared" si="2"/>
        <v>0</v>
      </c>
      <c r="Q25" s="40">
        <f t="shared" si="3"/>
        <v>24</v>
      </c>
      <c r="R25" s="7"/>
      <c r="S25" s="6"/>
      <c r="T25" s="16"/>
      <c r="U25" s="16"/>
      <c r="V25" s="120"/>
      <c r="W25" s="5">
        <v>24</v>
      </c>
      <c r="X25" s="16"/>
      <c r="Y25" s="16"/>
      <c r="Z25" s="16"/>
      <c r="AA25" s="18"/>
      <c r="AB25" s="8">
        <f t="shared" si="4"/>
        <v>0</v>
      </c>
      <c r="AC25" s="9">
        <f t="shared" si="5"/>
        <v>0</v>
      </c>
      <c r="AD25" s="10">
        <f t="shared" si="6"/>
        <v>0</v>
      </c>
      <c r="AE25" s="36">
        <f>$AD$29</f>
        <v>0.30072463768115942</v>
      </c>
      <c r="AF25" s="84">
        <f t="shared" si="7"/>
        <v>33</v>
      </c>
    </row>
    <row r="26" spans="1:32" ht="28.5">
      <c r="A26" s="96">
        <v>34</v>
      </c>
      <c r="B26" s="11" t="s">
        <v>57</v>
      </c>
      <c r="C26" s="11" t="s">
        <v>116</v>
      </c>
      <c r="D26" s="52" t="s">
        <v>137</v>
      </c>
      <c r="E26" s="53" t="s">
        <v>141</v>
      </c>
      <c r="F26" s="12" t="s">
        <v>128</v>
      </c>
      <c r="G26" s="12">
        <v>4</v>
      </c>
      <c r="H26" s="35">
        <v>20</v>
      </c>
      <c r="I26" s="7">
        <v>240000</v>
      </c>
      <c r="J26" s="14">
        <v>9988</v>
      </c>
      <c r="K26" s="15">
        <f>L26+24768+29084+29040+29804+27780+4064+26996+28972+25428+29132+9988</f>
        <v>265056</v>
      </c>
      <c r="L26" s="15"/>
      <c r="M26" s="15">
        <f t="shared" si="0"/>
        <v>0</v>
      </c>
      <c r="N26" s="15">
        <v>0</v>
      </c>
      <c r="O26" s="58" t="str">
        <f t="shared" si="1"/>
        <v>0</v>
      </c>
      <c r="P26" s="39" t="str">
        <f t="shared" si="2"/>
        <v>0</v>
      </c>
      <c r="Q26" s="40">
        <f t="shared" si="3"/>
        <v>24</v>
      </c>
      <c r="R26" s="7"/>
      <c r="S26" s="6"/>
      <c r="T26" s="16"/>
      <c r="U26" s="16"/>
      <c r="V26" s="120"/>
      <c r="W26" s="5">
        <v>24</v>
      </c>
      <c r="X26" s="16"/>
      <c r="Y26" s="16"/>
      <c r="Z26" s="16"/>
      <c r="AA26" s="18"/>
      <c r="AB26" s="8">
        <f t="shared" si="4"/>
        <v>0</v>
      </c>
      <c r="AC26" s="9">
        <f t="shared" si="5"/>
        <v>0</v>
      </c>
      <c r="AD26" s="10">
        <f t="shared" si="6"/>
        <v>0</v>
      </c>
      <c r="AE26" s="36">
        <f>$AD$29</f>
        <v>0.30072463768115942</v>
      </c>
      <c r="AF26" s="84">
        <f t="shared" si="7"/>
        <v>34</v>
      </c>
    </row>
    <row r="27" spans="1:32" ht="28.5">
      <c r="A27" s="96">
        <v>35</v>
      </c>
      <c r="B27" s="11" t="s">
        <v>57</v>
      </c>
      <c r="C27" s="11" t="s">
        <v>116</v>
      </c>
      <c r="D27" s="52" t="s">
        <v>121</v>
      </c>
      <c r="E27" s="53" t="s">
        <v>130</v>
      </c>
      <c r="F27" s="12" t="s">
        <v>128</v>
      </c>
      <c r="G27" s="12">
        <v>4</v>
      </c>
      <c r="H27" s="35">
        <v>20</v>
      </c>
      <c r="I27" s="7">
        <v>240000</v>
      </c>
      <c r="J27" s="14">
        <v>11600</v>
      </c>
      <c r="K27" s="15">
        <f>L27+25004+29968+31848+29672+31736+27000+29200+29420+29140+11600</f>
        <v>274588</v>
      </c>
      <c r="L27" s="15"/>
      <c r="M27" s="15">
        <f t="shared" si="0"/>
        <v>0</v>
      </c>
      <c r="N27" s="15">
        <v>0</v>
      </c>
      <c r="O27" s="58" t="str">
        <f t="shared" si="1"/>
        <v>0</v>
      </c>
      <c r="P27" s="39" t="str">
        <f t="shared" si="2"/>
        <v>0</v>
      </c>
      <c r="Q27" s="40">
        <f t="shared" si="3"/>
        <v>24</v>
      </c>
      <c r="R27" s="7"/>
      <c r="S27" s="6"/>
      <c r="T27" s="16"/>
      <c r="U27" s="16"/>
      <c r="V27" s="120"/>
      <c r="W27" s="5">
        <v>24</v>
      </c>
      <c r="X27" s="16"/>
      <c r="Y27" s="16"/>
      <c r="Z27" s="16"/>
      <c r="AA27" s="18"/>
      <c r="AB27" s="8">
        <f t="shared" si="4"/>
        <v>0</v>
      </c>
      <c r="AC27" s="9">
        <f t="shared" si="5"/>
        <v>0</v>
      </c>
      <c r="AD27" s="10">
        <f t="shared" si="6"/>
        <v>0</v>
      </c>
      <c r="AE27" s="36">
        <f>$AD$29</f>
        <v>0.30072463768115942</v>
      </c>
      <c r="AF27" s="84">
        <f t="shared" si="7"/>
        <v>35</v>
      </c>
    </row>
    <row r="28" spans="1:32" ht="19.5" thickBot="1">
      <c r="A28" s="96">
        <v>36</v>
      </c>
      <c r="B28" s="11" t="s">
        <v>57</v>
      </c>
      <c r="C28" s="11" t="s">
        <v>150</v>
      </c>
      <c r="D28" s="52"/>
      <c r="E28" s="53" t="s">
        <v>348</v>
      </c>
      <c r="F28" s="12" t="s">
        <v>152</v>
      </c>
      <c r="G28" s="12">
        <v>32</v>
      </c>
      <c r="H28" s="35">
        <v>20</v>
      </c>
      <c r="I28" s="7">
        <v>2000000</v>
      </c>
      <c r="J28" s="14">
        <v>368000</v>
      </c>
      <c r="K28" s="15">
        <f>L28+396032+523136+552288+502656+539840+542400+544128+185984+368000</f>
        <v>4154464</v>
      </c>
      <c r="L28" s="15"/>
      <c r="M28" s="15">
        <f t="shared" si="0"/>
        <v>0</v>
      </c>
      <c r="N28" s="15">
        <v>0</v>
      </c>
      <c r="O28" s="58" t="str">
        <f t="shared" si="1"/>
        <v>0</v>
      </c>
      <c r="P28" s="39" t="str">
        <f t="shared" si="2"/>
        <v>0</v>
      </c>
      <c r="Q28" s="40">
        <f t="shared" si="3"/>
        <v>24</v>
      </c>
      <c r="R28" s="7"/>
      <c r="S28" s="6"/>
      <c r="T28" s="16"/>
      <c r="U28" s="16"/>
      <c r="V28" s="120"/>
      <c r="W28" s="5">
        <v>24</v>
      </c>
      <c r="X28" s="16"/>
      <c r="Y28" s="16"/>
      <c r="Z28" s="16"/>
      <c r="AA28" s="18"/>
      <c r="AB28" s="8">
        <f t="shared" si="4"/>
        <v>0</v>
      </c>
      <c r="AC28" s="9">
        <f t="shared" si="5"/>
        <v>0</v>
      </c>
      <c r="AD28" s="10">
        <f t="shared" si="6"/>
        <v>0</v>
      </c>
      <c r="AE28" s="36">
        <f>$AD$29</f>
        <v>0.30072463768115942</v>
      </c>
      <c r="AF28" s="84">
        <f t="shared" si="7"/>
        <v>36</v>
      </c>
    </row>
    <row r="29" spans="1:32" ht="19.5" thickBot="1">
      <c r="A29" s="523" t="s">
        <v>34</v>
      </c>
      <c r="B29" s="524"/>
      <c r="C29" s="524"/>
      <c r="D29" s="524"/>
      <c r="E29" s="524"/>
      <c r="F29" s="524"/>
      <c r="G29" s="524"/>
      <c r="H29" s="525"/>
      <c r="I29" s="22">
        <f t="shared" ref="I29:N29" si="16">SUM(I6:I28)</f>
        <v>3934900</v>
      </c>
      <c r="J29" s="19">
        <f t="shared" si="16"/>
        <v>509968</v>
      </c>
      <c r="K29" s="20">
        <f t="shared" si="16"/>
        <v>6269522</v>
      </c>
      <c r="L29" s="21">
        <f t="shared" si="16"/>
        <v>88784</v>
      </c>
      <c r="M29" s="20">
        <f t="shared" si="16"/>
        <v>88784</v>
      </c>
      <c r="N29" s="21">
        <f t="shared" si="16"/>
        <v>0</v>
      </c>
      <c r="O29" s="41">
        <f t="shared" si="1"/>
        <v>0</v>
      </c>
      <c r="P29" s="42">
        <f t="shared" ref="P29:AA29" si="17">SUM(P6:P28)</f>
        <v>166</v>
      </c>
      <c r="Q29" s="43">
        <f t="shared" si="17"/>
        <v>386</v>
      </c>
      <c r="R29" s="23">
        <f t="shared" si="17"/>
        <v>0</v>
      </c>
      <c r="S29" s="24">
        <f t="shared" si="17"/>
        <v>51</v>
      </c>
      <c r="T29" s="24">
        <f t="shared" si="17"/>
        <v>15</v>
      </c>
      <c r="U29" s="24">
        <f t="shared" si="17"/>
        <v>0</v>
      </c>
      <c r="V29" s="25">
        <f t="shared" si="17"/>
        <v>17</v>
      </c>
      <c r="W29" s="26">
        <f t="shared" si="17"/>
        <v>303</v>
      </c>
      <c r="X29" s="27">
        <f t="shared" si="17"/>
        <v>0</v>
      </c>
      <c r="Y29" s="27">
        <f t="shared" si="17"/>
        <v>0</v>
      </c>
      <c r="Z29" s="27">
        <f t="shared" si="17"/>
        <v>0</v>
      </c>
      <c r="AA29" s="27">
        <f t="shared" si="17"/>
        <v>0</v>
      </c>
      <c r="AB29" s="28">
        <f>AVERAGE(AB6:AB28)</f>
        <v>0.47619047619047616</v>
      </c>
      <c r="AC29" s="4">
        <f>AVERAGE(AC6:AC28)</f>
        <v>0.30072463768115942</v>
      </c>
      <c r="AD29" s="4">
        <f>AVERAGE(AD6:AD28)</f>
        <v>0.30072463768115942</v>
      </c>
      <c r="AE29" s="29"/>
    </row>
    <row r="30" spans="1:32">
      <c r="T30" s="50" t="s">
        <v>138</v>
      </c>
    </row>
    <row r="31" spans="1:32" ht="18.75">
      <c r="A31" s="2"/>
      <c r="B31" s="2" t="s">
        <v>35</v>
      </c>
      <c r="C31" s="2"/>
      <c r="D31" s="2"/>
      <c r="E31" s="2"/>
      <c r="F31" s="2"/>
      <c r="G31" s="2"/>
      <c r="H31" s="3"/>
      <c r="I31" s="3"/>
      <c r="J31" s="2"/>
      <c r="K31" s="2"/>
      <c r="L31" s="2"/>
      <c r="M31" s="2"/>
      <c r="N31" s="2" t="s">
        <v>36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1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 t="s">
        <v>139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85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F44" s="50"/>
    </row>
    <row r="45" spans="1:32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F45" s="50"/>
    </row>
    <row r="46" spans="1:32" ht="27">
      <c r="A46" s="59"/>
      <c r="B46" s="59"/>
      <c r="C46" s="59"/>
      <c r="D46" s="59"/>
      <c r="E46" s="59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F46" s="50"/>
    </row>
    <row r="47" spans="1:32" ht="29.25" customHeight="1">
      <c r="A47" s="60"/>
      <c r="B47" s="60"/>
      <c r="C47" s="61"/>
      <c r="D47" s="61"/>
      <c r="E47" s="61"/>
      <c r="F47" s="60"/>
      <c r="G47" s="60"/>
      <c r="H47" s="60"/>
      <c r="I47" s="60"/>
      <c r="J47" s="60"/>
      <c r="K47" s="60"/>
      <c r="L47" s="60"/>
      <c r="M47" s="61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29.25" customHeight="1">
      <c r="A53" s="60"/>
      <c r="B53" s="60"/>
      <c r="C53" s="62"/>
      <c r="D53" s="61"/>
      <c r="E53" s="61"/>
      <c r="F53" s="60"/>
      <c r="G53" s="60"/>
      <c r="H53" s="60"/>
      <c r="I53" s="60"/>
      <c r="J53" s="60"/>
      <c r="K53" s="60"/>
      <c r="L53" s="60"/>
      <c r="M53" s="62"/>
      <c r="N53" s="60"/>
      <c r="O53" s="60"/>
      <c r="P53" s="63"/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0"/>
      <c r="AC53" s="60"/>
      <c r="AD53" s="60"/>
      <c r="AF53" s="50"/>
    </row>
    <row r="54" spans="1:32" ht="29.25" customHeight="1">
      <c r="A54" s="60"/>
      <c r="B54" s="60"/>
      <c r="C54" s="62"/>
      <c r="D54" s="61"/>
      <c r="E54" s="61"/>
      <c r="F54" s="60"/>
      <c r="G54" s="60"/>
      <c r="H54" s="60"/>
      <c r="I54" s="60"/>
      <c r="J54" s="60"/>
      <c r="K54" s="60"/>
      <c r="L54" s="60"/>
      <c r="M54" s="62"/>
      <c r="N54" s="60"/>
      <c r="O54" s="60"/>
      <c r="P54" s="63"/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0"/>
      <c r="AC54" s="60"/>
      <c r="AD54" s="60"/>
      <c r="AF54" s="50"/>
    </row>
    <row r="55" spans="1:32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F55" s="50"/>
    </row>
    <row r="56" spans="1:32" ht="36" thickBot="1">
      <c r="A56" s="526" t="s">
        <v>45</v>
      </c>
      <c r="B56" s="526"/>
      <c r="C56" s="526"/>
      <c r="D56" s="526"/>
      <c r="E56" s="526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F56" s="50"/>
    </row>
    <row r="57" spans="1:32" ht="26.25" thickBot="1">
      <c r="A57" s="527" t="s">
        <v>708</v>
      </c>
      <c r="B57" s="528"/>
      <c r="C57" s="528"/>
      <c r="D57" s="528"/>
      <c r="E57" s="528"/>
      <c r="F57" s="528"/>
      <c r="G57" s="528"/>
      <c r="H57" s="528"/>
      <c r="I57" s="528"/>
      <c r="J57" s="528"/>
      <c r="K57" s="528"/>
      <c r="L57" s="528"/>
      <c r="M57" s="529"/>
      <c r="N57" s="530" t="s">
        <v>711</v>
      </c>
      <c r="O57" s="531"/>
      <c r="P57" s="531"/>
      <c r="Q57" s="531"/>
      <c r="R57" s="531"/>
      <c r="S57" s="531"/>
      <c r="T57" s="531"/>
      <c r="U57" s="531"/>
      <c r="V57" s="531"/>
      <c r="W57" s="531"/>
      <c r="X57" s="531"/>
      <c r="Y57" s="531"/>
      <c r="Z57" s="531"/>
      <c r="AA57" s="531"/>
      <c r="AB57" s="531"/>
      <c r="AC57" s="531"/>
      <c r="AD57" s="532"/>
    </row>
    <row r="58" spans="1:32" ht="27" customHeight="1">
      <c r="A58" s="533" t="s">
        <v>2</v>
      </c>
      <c r="B58" s="534"/>
      <c r="C58" s="425" t="s">
        <v>46</v>
      </c>
      <c r="D58" s="425" t="s">
        <v>47</v>
      </c>
      <c r="E58" s="425" t="s">
        <v>107</v>
      </c>
      <c r="F58" s="535" t="s">
        <v>106</v>
      </c>
      <c r="G58" s="536"/>
      <c r="H58" s="536"/>
      <c r="I58" s="536"/>
      <c r="J58" s="536"/>
      <c r="K58" s="536"/>
      <c r="L58" s="536"/>
      <c r="M58" s="537"/>
      <c r="N58" s="67" t="s">
        <v>110</v>
      </c>
      <c r="O58" s="425" t="s">
        <v>46</v>
      </c>
      <c r="P58" s="535" t="s">
        <v>47</v>
      </c>
      <c r="Q58" s="538"/>
      <c r="R58" s="535" t="s">
        <v>38</v>
      </c>
      <c r="S58" s="536"/>
      <c r="T58" s="536"/>
      <c r="U58" s="538"/>
      <c r="V58" s="535" t="s">
        <v>48</v>
      </c>
      <c r="W58" s="536"/>
      <c r="X58" s="536"/>
      <c r="Y58" s="536"/>
      <c r="Z58" s="536"/>
      <c r="AA58" s="536"/>
      <c r="AB58" s="536"/>
      <c r="AC58" s="536"/>
      <c r="AD58" s="537"/>
    </row>
    <row r="59" spans="1:32" ht="27" customHeight="1">
      <c r="A59" s="517" t="s">
        <v>112</v>
      </c>
      <c r="B59" s="507"/>
      <c r="C59" s="427" t="s">
        <v>219</v>
      </c>
      <c r="D59" s="427" t="s">
        <v>115</v>
      </c>
      <c r="E59" s="427" t="s">
        <v>623</v>
      </c>
      <c r="F59" s="504" t="s">
        <v>709</v>
      </c>
      <c r="G59" s="505"/>
      <c r="H59" s="505"/>
      <c r="I59" s="505"/>
      <c r="J59" s="505"/>
      <c r="K59" s="505"/>
      <c r="L59" s="505"/>
      <c r="M59" s="506"/>
      <c r="N59" s="426" t="s">
        <v>134</v>
      </c>
      <c r="O59" s="433" t="s">
        <v>504</v>
      </c>
      <c r="P59" s="518" t="s">
        <v>680</v>
      </c>
      <c r="Q59" s="519"/>
      <c r="R59" s="518" t="s">
        <v>679</v>
      </c>
      <c r="S59" s="520"/>
      <c r="T59" s="520"/>
      <c r="U59" s="519"/>
      <c r="V59" s="504" t="s">
        <v>123</v>
      </c>
      <c r="W59" s="505"/>
      <c r="X59" s="505"/>
      <c r="Y59" s="505"/>
      <c r="Z59" s="505"/>
      <c r="AA59" s="505"/>
      <c r="AB59" s="505"/>
      <c r="AC59" s="505"/>
      <c r="AD59" s="506"/>
    </row>
    <row r="60" spans="1:32" ht="27" customHeight="1">
      <c r="A60" s="517" t="s">
        <v>112</v>
      </c>
      <c r="B60" s="507"/>
      <c r="C60" s="427" t="s">
        <v>148</v>
      </c>
      <c r="D60" s="427" t="s">
        <v>133</v>
      </c>
      <c r="E60" s="427" t="s">
        <v>584</v>
      </c>
      <c r="F60" s="504" t="s">
        <v>557</v>
      </c>
      <c r="G60" s="505"/>
      <c r="H60" s="505"/>
      <c r="I60" s="505"/>
      <c r="J60" s="505"/>
      <c r="K60" s="505"/>
      <c r="L60" s="505"/>
      <c r="M60" s="506"/>
      <c r="N60" s="426" t="s">
        <v>112</v>
      </c>
      <c r="O60" s="433" t="s">
        <v>223</v>
      </c>
      <c r="P60" s="518" t="s">
        <v>115</v>
      </c>
      <c r="Q60" s="519"/>
      <c r="R60" s="518" t="s">
        <v>712</v>
      </c>
      <c r="S60" s="520"/>
      <c r="T60" s="520"/>
      <c r="U60" s="519"/>
      <c r="V60" s="504" t="s">
        <v>123</v>
      </c>
      <c r="W60" s="505"/>
      <c r="X60" s="505"/>
      <c r="Y60" s="505"/>
      <c r="Z60" s="505"/>
      <c r="AA60" s="505"/>
      <c r="AB60" s="505"/>
      <c r="AC60" s="505"/>
      <c r="AD60" s="506"/>
    </row>
    <row r="61" spans="1:32" ht="27" customHeight="1">
      <c r="A61" s="517" t="s">
        <v>112</v>
      </c>
      <c r="B61" s="507"/>
      <c r="C61" s="427" t="s">
        <v>186</v>
      </c>
      <c r="D61" s="427" t="s">
        <v>229</v>
      </c>
      <c r="E61" s="427" t="s">
        <v>659</v>
      </c>
      <c r="F61" s="504" t="s">
        <v>123</v>
      </c>
      <c r="G61" s="505"/>
      <c r="H61" s="505"/>
      <c r="I61" s="505"/>
      <c r="J61" s="505"/>
      <c r="K61" s="505"/>
      <c r="L61" s="505"/>
      <c r="M61" s="506"/>
      <c r="N61" s="426" t="s">
        <v>116</v>
      </c>
      <c r="O61" s="433" t="s">
        <v>156</v>
      </c>
      <c r="P61" s="518" t="s">
        <v>229</v>
      </c>
      <c r="Q61" s="519"/>
      <c r="R61" s="518" t="s">
        <v>713</v>
      </c>
      <c r="S61" s="520"/>
      <c r="T61" s="520"/>
      <c r="U61" s="519"/>
      <c r="V61" s="504" t="s">
        <v>467</v>
      </c>
      <c r="W61" s="505"/>
      <c r="X61" s="505"/>
      <c r="Y61" s="505"/>
      <c r="Z61" s="505"/>
      <c r="AA61" s="505"/>
      <c r="AB61" s="505"/>
      <c r="AC61" s="505"/>
      <c r="AD61" s="506"/>
    </row>
    <row r="62" spans="1:32" ht="27" customHeight="1">
      <c r="A62" s="517" t="s">
        <v>116</v>
      </c>
      <c r="B62" s="507"/>
      <c r="C62" s="427" t="s">
        <v>156</v>
      </c>
      <c r="D62" s="427" t="s">
        <v>121</v>
      </c>
      <c r="E62" s="427" t="s">
        <v>132</v>
      </c>
      <c r="F62" s="504" t="s">
        <v>123</v>
      </c>
      <c r="G62" s="505"/>
      <c r="H62" s="505"/>
      <c r="I62" s="505"/>
      <c r="J62" s="505"/>
      <c r="K62" s="505"/>
      <c r="L62" s="505"/>
      <c r="M62" s="506"/>
      <c r="N62" s="426"/>
      <c r="O62" s="433"/>
      <c r="P62" s="518"/>
      <c r="Q62" s="519"/>
      <c r="R62" s="518"/>
      <c r="S62" s="520"/>
      <c r="T62" s="520"/>
      <c r="U62" s="519"/>
      <c r="V62" s="504"/>
      <c r="W62" s="505"/>
      <c r="X62" s="505"/>
      <c r="Y62" s="505"/>
      <c r="Z62" s="505"/>
      <c r="AA62" s="505"/>
      <c r="AB62" s="505"/>
      <c r="AC62" s="505"/>
      <c r="AD62" s="506"/>
    </row>
    <row r="63" spans="1:32" ht="27" customHeight="1">
      <c r="A63" s="517" t="s">
        <v>112</v>
      </c>
      <c r="B63" s="507"/>
      <c r="C63" s="427" t="s">
        <v>157</v>
      </c>
      <c r="D63" s="427" t="s">
        <v>300</v>
      </c>
      <c r="E63" s="427" t="s">
        <v>683</v>
      </c>
      <c r="F63" s="504" t="s">
        <v>123</v>
      </c>
      <c r="G63" s="505"/>
      <c r="H63" s="505"/>
      <c r="I63" s="505"/>
      <c r="J63" s="505"/>
      <c r="K63" s="505"/>
      <c r="L63" s="505"/>
      <c r="M63" s="506"/>
      <c r="N63" s="426"/>
      <c r="O63" s="433"/>
      <c r="P63" s="518"/>
      <c r="Q63" s="519"/>
      <c r="R63" s="518"/>
      <c r="S63" s="520"/>
      <c r="T63" s="520"/>
      <c r="U63" s="519"/>
      <c r="V63" s="504"/>
      <c r="W63" s="505"/>
      <c r="X63" s="505"/>
      <c r="Y63" s="505"/>
      <c r="Z63" s="505"/>
      <c r="AA63" s="505"/>
      <c r="AB63" s="505"/>
      <c r="AC63" s="505"/>
      <c r="AD63" s="506"/>
    </row>
    <row r="64" spans="1:32" ht="27" customHeight="1">
      <c r="A64" s="517" t="s">
        <v>134</v>
      </c>
      <c r="B64" s="507"/>
      <c r="C64" s="427" t="s">
        <v>504</v>
      </c>
      <c r="D64" s="427" t="s">
        <v>229</v>
      </c>
      <c r="E64" s="427" t="s">
        <v>707</v>
      </c>
      <c r="F64" s="504" t="s">
        <v>710</v>
      </c>
      <c r="G64" s="505"/>
      <c r="H64" s="505"/>
      <c r="I64" s="505"/>
      <c r="J64" s="505"/>
      <c r="K64" s="505"/>
      <c r="L64" s="505"/>
      <c r="M64" s="506"/>
      <c r="N64" s="426"/>
      <c r="O64" s="433"/>
      <c r="P64" s="518"/>
      <c r="Q64" s="519"/>
      <c r="R64" s="518"/>
      <c r="S64" s="520"/>
      <c r="T64" s="520"/>
      <c r="U64" s="519"/>
      <c r="V64" s="504"/>
      <c r="W64" s="505"/>
      <c r="X64" s="505"/>
      <c r="Y64" s="505"/>
      <c r="Z64" s="505"/>
      <c r="AA64" s="505"/>
      <c r="AB64" s="505"/>
      <c r="AC64" s="505"/>
      <c r="AD64" s="506"/>
    </row>
    <row r="65" spans="1:32" ht="27" customHeight="1">
      <c r="A65" s="517"/>
      <c r="B65" s="507"/>
      <c r="C65" s="427"/>
      <c r="D65" s="427"/>
      <c r="E65" s="427"/>
      <c r="F65" s="504"/>
      <c r="G65" s="505"/>
      <c r="H65" s="505"/>
      <c r="I65" s="505"/>
      <c r="J65" s="505"/>
      <c r="K65" s="505"/>
      <c r="L65" s="505"/>
      <c r="M65" s="506"/>
      <c r="N65" s="426"/>
      <c r="O65" s="433"/>
      <c r="P65" s="518"/>
      <c r="Q65" s="519"/>
      <c r="R65" s="518"/>
      <c r="S65" s="520"/>
      <c r="T65" s="520"/>
      <c r="U65" s="519"/>
      <c r="V65" s="491"/>
      <c r="W65" s="491"/>
      <c r="X65" s="491"/>
      <c r="Y65" s="491"/>
      <c r="Z65" s="491"/>
      <c r="AA65" s="491"/>
      <c r="AB65" s="491"/>
      <c r="AC65" s="491"/>
      <c r="AD65" s="508"/>
    </row>
    <row r="66" spans="1:32" ht="27" customHeight="1">
      <c r="A66" s="502"/>
      <c r="B66" s="503"/>
      <c r="C66" s="430"/>
      <c r="D66" s="430"/>
      <c r="E66" s="427"/>
      <c r="F66" s="504"/>
      <c r="G66" s="505"/>
      <c r="H66" s="505"/>
      <c r="I66" s="505"/>
      <c r="J66" s="505"/>
      <c r="K66" s="505"/>
      <c r="L66" s="505"/>
      <c r="M66" s="506"/>
      <c r="N66" s="426"/>
      <c r="O66" s="433"/>
      <c r="P66" s="518"/>
      <c r="Q66" s="519"/>
      <c r="R66" s="518"/>
      <c r="S66" s="520"/>
      <c r="T66" s="520"/>
      <c r="U66" s="519"/>
      <c r="V66" s="491"/>
      <c r="W66" s="491"/>
      <c r="X66" s="491"/>
      <c r="Y66" s="491"/>
      <c r="Z66" s="491"/>
      <c r="AA66" s="491"/>
      <c r="AB66" s="491"/>
      <c r="AC66" s="491"/>
      <c r="AD66" s="508"/>
    </row>
    <row r="67" spans="1:32" ht="27" customHeight="1">
      <c r="A67" s="502"/>
      <c r="B67" s="503"/>
      <c r="C67" s="430"/>
      <c r="D67" s="430"/>
      <c r="E67" s="427"/>
      <c r="F67" s="504"/>
      <c r="G67" s="505"/>
      <c r="H67" s="505"/>
      <c r="I67" s="505"/>
      <c r="J67" s="505"/>
      <c r="K67" s="505"/>
      <c r="L67" s="505"/>
      <c r="M67" s="506"/>
      <c r="N67" s="426"/>
      <c r="O67" s="433"/>
      <c r="P67" s="507"/>
      <c r="Q67" s="507"/>
      <c r="R67" s="507"/>
      <c r="S67" s="507"/>
      <c r="T67" s="507"/>
      <c r="U67" s="507"/>
      <c r="V67" s="491"/>
      <c r="W67" s="491"/>
      <c r="X67" s="491"/>
      <c r="Y67" s="491"/>
      <c r="Z67" s="491"/>
      <c r="AA67" s="491"/>
      <c r="AB67" s="491"/>
      <c r="AC67" s="491"/>
      <c r="AD67" s="508"/>
      <c r="AF67" s="84">
        <f>8*3000</f>
        <v>24000</v>
      </c>
    </row>
    <row r="68" spans="1:32" ht="27" customHeight="1" thickBot="1">
      <c r="A68" s="509"/>
      <c r="B68" s="510"/>
      <c r="C68" s="428"/>
      <c r="D68" s="429"/>
      <c r="E68" s="428"/>
      <c r="F68" s="511"/>
      <c r="G68" s="512"/>
      <c r="H68" s="512"/>
      <c r="I68" s="512"/>
      <c r="J68" s="512"/>
      <c r="K68" s="512"/>
      <c r="L68" s="512"/>
      <c r="M68" s="513"/>
      <c r="N68" s="111"/>
      <c r="O68" s="103"/>
      <c r="P68" s="514"/>
      <c r="Q68" s="514"/>
      <c r="R68" s="514"/>
      <c r="S68" s="514"/>
      <c r="T68" s="514"/>
      <c r="U68" s="514"/>
      <c r="V68" s="515"/>
      <c r="W68" s="515"/>
      <c r="X68" s="515"/>
      <c r="Y68" s="515"/>
      <c r="Z68" s="515"/>
      <c r="AA68" s="515"/>
      <c r="AB68" s="515"/>
      <c r="AC68" s="515"/>
      <c r="AD68" s="516"/>
      <c r="AF68" s="84">
        <f>16*3000</f>
        <v>48000</v>
      </c>
    </row>
    <row r="69" spans="1:32" ht="27.75" thickBot="1">
      <c r="A69" s="500" t="s">
        <v>714</v>
      </c>
      <c r="B69" s="500"/>
      <c r="C69" s="500"/>
      <c r="D69" s="500"/>
      <c r="E69" s="500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F69" s="84">
        <v>24000</v>
      </c>
    </row>
    <row r="70" spans="1:32" ht="29.25" customHeight="1" thickBot="1">
      <c r="A70" s="501" t="s">
        <v>111</v>
      </c>
      <c r="B70" s="498"/>
      <c r="C70" s="431" t="s">
        <v>2</v>
      </c>
      <c r="D70" s="431" t="s">
        <v>37</v>
      </c>
      <c r="E70" s="431" t="s">
        <v>3</v>
      </c>
      <c r="F70" s="498" t="s">
        <v>109</v>
      </c>
      <c r="G70" s="498"/>
      <c r="H70" s="498"/>
      <c r="I70" s="498"/>
      <c r="J70" s="498"/>
      <c r="K70" s="498" t="s">
        <v>39</v>
      </c>
      <c r="L70" s="498"/>
      <c r="M70" s="431" t="s">
        <v>40</v>
      </c>
      <c r="N70" s="498" t="s">
        <v>41</v>
      </c>
      <c r="O70" s="498"/>
      <c r="P70" s="495" t="s">
        <v>42</v>
      </c>
      <c r="Q70" s="497"/>
      <c r="R70" s="495" t="s">
        <v>43</v>
      </c>
      <c r="S70" s="496"/>
      <c r="T70" s="496"/>
      <c r="U70" s="496"/>
      <c r="V70" s="496"/>
      <c r="W70" s="496"/>
      <c r="X70" s="496"/>
      <c r="Y70" s="496"/>
      <c r="Z70" s="496"/>
      <c r="AA70" s="497"/>
      <c r="AB70" s="498" t="s">
        <v>44</v>
      </c>
      <c r="AC70" s="498"/>
      <c r="AD70" s="499"/>
      <c r="AF70" s="84">
        <f>SUM(AF67:AF69)</f>
        <v>96000</v>
      </c>
    </row>
    <row r="71" spans="1:32" ht="25.5" customHeight="1">
      <c r="A71" s="486">
        <v>1</v>
      </c>
      <c r="B71" s="487"/>
      <c r="C71" s="104" t="s">
        <v>116</v>
      </c>
      <c r="D71" s="435"/>
      <c r="E71" s="432" t="s">
        <v>229</v>
      </c>
      <c r="F71" s="488" t="s">
        <v>713</v>
      </c>
      <c r="G71" s="478"/>
      <c r="H71" s="478"/>
      <c r="I71" s="478"/>
      <c r="J71" s="478"/>
      <c r="K71" s="478" t="s">
        <v>592</v>
      </c>
      <c r="L71" s="478"/>
      <c r="M71" s="51" t="s">
        <v>155</v>
      </c>
      <c r="N71" s="489" t="s">
        <v>186</v>
      </c>
      <c r="O71" s="489"/>
      <c r="P71" s="490">
        <v>50</v>
      </c>
      <c r="Q71" s="490"/>
      <c r="R71" s="491"/>
      <c r="S71" s="491"/>
      <c r="T71" s="491"/>
      <c r="U71" s="491"/>
      <c r="V71" s="491"/>
      <c r="W71" s="491"/>
      <c r="X71" s="491"/>
      <c r="Y71" s="491"/>
      <c r="Z71" s="491"/>
      <c r="AA71" s="491"/>
      <c r="AB71" s="478"/>
      <c r="AC71" s="478"/>
      <c r="AD71" s="479"/>
      <c r="AF71" s="50"/>
    </row>
    <row r="72" spans="1:32" ht="25.5" customHeight="1">
      <c r="A72" s="486">
        <v>2</v>
      </c>
      <c r="B72" s="487"/>
      <c r="C72" s="104" t="s">
        <v>112</v>
      </c>
      <c r="D72" s="435"/>
      <c r="E72" s="432" t="s">
        <v>229</v>
      </c>
      <c r="F72" s="488" t="s">
        <v>659</v>
      </c>
      <c r="G72" s="478"/>
      <c r="H72" s="478"/>
      <c r="I72" s="478"/>
      <c r="J72" s="478"/>
      <c r="K72" s="478" t="s">
        <v>211</v>
      </c>
      <c r="L72" s="478"/>
      <c r="M72" s="51" t="s">
        <v>155</v>
      </c>
      <c r="N72" s="489" t="s">
        <v>156</v>
      </c>
      <c r="O72" s="489"/>
      <c r="P72" s="490">
        <v>50</v>
      </c>
      <c r="Q72" s="490"/>
      <c r="R72" s="491"/>
      <c r="S72" s="491"/>
      <c r="T72" s="491"/>
      <c r="U72" s="491"/>
      <c r="V72" s="491"/>
      <c r="W72" s="491"/>
      <c r="X72" s="491"/>
      <c r="Y72" s="491"/>
      <c r="Z72" s="491"/>
      <c r="AA72" s="491"/>
      <c r="AB72" s="478"/>
      <c r="AC72" s="478"/>
      <c r="AD72" s="479"/>
      <c r="AF72" s="50"/>
    </row>
    <row r="73" spans="1:32" ht="25.5" customHeight="1">
      <c r="A73" s="486">
        <v>3</v>
      </c>
      <c r="B73" s="487"/>
      <c r="C73" s="104" t="s">
        <v>116</v>
      </c>
      <c r="D73" s="435"/>
      <c r="E73" s="432" t="s">
        <v>121</v>
      </c>
      <c r="F73" s="492" t="s">
        <v>715</v>
      </c>
      <c r="G73" s="493"/>
      <c r="H73" s="493"/>
      <c r="I73" s="493"/>
      <c r="J73" s="494"/>
      <c r="K73" s="478" t="s">
        <v>127</v>
      </c>
      <c r="L73" s="478"/>
      <c r="M73" s="51" t="s">
        <v>155</v>
      </c>
      <c r="N73" s="489" t="s">
        <v>198</v>
      </c>
      <c r="O73" s="489"/>
      <c r="P73" s="490">
        <v>70</v>
      </c>
      <c r="Q73" s="490"/>
      <c r="R73" s="491"/>
      <c r="S73" s="491"/>
      <c r="T73" s="491"/>
      <c r="U73" s="491"/>
      <c r="V73" s="491"/>
      <c r="W73" s="491"/>
      <c r="X73" s="491"/>
      <c r="Y73" s="491"/>
      <c r="Z73" s="491"/>
      <c r="AA73" s="491"/>
      <c r="AB73" s="478"/>
      <c r="AC73" s="478"/>
      <c r="AD73" s="479"/>
      <c r="AF73" s="50"/>
    </row>
    <row r="74" spans="1:32" ht="25.5" customHeight="1">
      <c r="A74" s="486">
        <v>4</v>
      </c>
      <c r="B74" s="487"/>
      <c r="C74" s="104" t="s">
        <v>112</v>
      </c>
      <c r="D74" s="435"/>
      <c r="E74" s="432" t="s">
        <v>202</v>
      </c>
      <c r="F74" s="492" t="s">
        <v>716</v>
      </c>
      <c r="G74" s="493"/>
      <c r="H74" s="493"/>
      <c r="I74" s="493"/>
      <c r="J74" s="494"/>
      <c r="K74" s="478">
        <v>7301</v>
      </c>
      <c r="L74" s="478"/>
      <c r="M74" s="51" t="s">
        <v>227</v>
      </c>
      <c r="N74" s="489" t="s">
        <v>201</v>
      </c>
      <c r="O74" s="489"/>
      <c r="P74" s="490">
        <v>100</v>
      </c>
      <c r="Q74" s="490"/>
      <c r="R74" s="491"/>
      <c r="S74" s="491"/>
      <c r="T74" s="491"/>
      <c r="U74" s="491"/>
      <c r="V74" s="491"/>
      <c r="W74" s="491"/>
      <c r="X74" s="491"/>
      <c r="Y74" s="491"/>
      <c r="Z74" s="491"/>
      <c r="AA74" s="491"/>
      <c r="AB74" s="478"/>
      <c r="AC74" s="478"/>
      <c r="AD74" s="479"/>
      <c r="AF74" s="50"/>
    </row>
    <row r="75" spans="1:32" ht="25.5" customHeight="1">
      <c r="A75" s="486">
        <v>5</v>
      </c>
      <c r="B75" s="487"/>
      <c r="C75" s="104"/>
      <c r="D75" s="435"/>
      <c r="E75" s="432"/>
      <c r="F75" s="492"/>
      <c r="G75" s="493"/>
      <c r="H75" s="493"/>
      <c r="I75" s="493"/>
      <c r="J75" s="494"/>
      <c r="K75" s="478"/>
      <c r="L75" s="478"/>
      <c r="M75" s="51"/>
      <c r="N75" s="489"/>
      <c r="O75" s="489"/>
      <c r="P75" s="490"/>
      <c r="Q75" s="490"/>
      <c r="R75" s="491"/>
      <c r="S75" s="491"/>
      <c r="T75" s="491"/>
      <c r="U75" s="491"/>
      <c r="V75" s="491"/>
      <c r="W75" s="491"/>
      <c r="X75" s="491"/>
      <c r="Y75" s="491"/>
      <c r="Z75" s="491"/>
      <c r="AA75" s="491"/>
      <c r="AB75" s="478"/>
      <c r="AC75" s="478"/>
      <c r="AD75" s="479"/>
      <c r="AF75" s="50"/>
    </row>
    <row r="76" spans="1:32" ht="25.5" customHeight="1">
      <c r="A76" s="486">
        <v>6</v>
      </c>
      <c r="B76" s="487"/>
      <c r="C76" s="104"/>
      <c r="D76" s="435"/>
      <c r="E76" s="432"/>
      <c r="F76" s="492"/>
      <c r="G76" s="493"/>
      <c r="H76" s="493"/>
      <c r="I76" s="493"/>
      <c r="J76" s="494"/>
      <c r="K76" s="478"/>
      <c r="L76" s="478"/>
      <c r="M76" s="51"/>
      <c r="N76" s="489"/>
      <c r="O76" s="489"/>
      <c r="P76" s="490"/>
      <c r="Q76" s="490"/>
      <c r="R76" s="491"/>
      <c r="S76" s="491"/>
      <c r="T76" s="491"/>
      <c r="U76" s="491"/>
      <c r="V76" s="491"/>
      <c r="W76" s="491"/>
      <c r="X76" s="491"/>
      <c r="Y76" s="491"/>
      <c r="Z76" s="491"/>
      <c r="AA76" s="491"/>
      <c r="AB76" s="478"/>
      <c r="AC76" s="478"/>
      <c r="AD76" s="479"/>
      <c r="AF76" s="50"/>
    </row>
    <row r="77" spans="1:32" ht="25.5" customHeight="1">
      <c r="A77" s="486">
        <v>7</v>
      </c>
      <c r="B77" s="487"/>
      <c r="C77" s="104"/>
      <c r="D77" s="435"/>
      <c r="E77" s="432"/>
      <c r="F77" s="492"/>
      <c r="G77" s="493"/>
      <c r="H77" s="493"/>
      <c r="I77" s="493"/>
      <c r="J77" s="494"/>
      <c r="K77" s="478"/>
      <c r="L77" s="478"/>
      <c r="M77" s="51"/>
      <c r="N77" s="489"/>
      <c r="O77" s="489"/>
      <c r="P77" s="490"/>
      <c r="Q77" s="490"/>
      <c r="R77" s="491"/>
      <c r="S77" s="491"/>
      <c r="T77" s="491"/>
      <c r="U77" s="491"/>
      <c r="V77" s="491"/>
      <c r="W77" s="491"/>
      <c r="X77" s="491"/>
      <c r="Y77" s="491"/>
      <c r="Z77" s="491"/>
      <c r="AA77" s="491"/>
      <c r="AB77" s="478"/>
      <c r="AC77" s="478"/>
      <c r="AD77" s="479"/>
      <c r="AF77" s="50"/>
    </row>
    <row r="78" spans="1:32" ht="25.5" customHeight="1">
      <c r="A78" s="486">
        <v>8</v>
      </c>
      <c r="B78" s="487"/>
      <c r="C78" s="104"/>
      <c r="D78" s="435"/>
      <c r="E78" s="432"/>
      <c r="F78" s="488"/>
      <c r="G78" s="478"/>
      <c r="H78" s="478"/>
      <c r="I78" s="478"/>
      <c r="J78" s="478"/>
      <c r="K78" s="478"/>
      <c r="L78" s="478"/>
      <c r="M78" s="51"/>
      <c r="N78" s="489"/>
      <c r="O78" s="489"/>
      <c r="P78" s="490"/>
      <c r="Q78" s="490"/>
      <c r="R78" s="491"/>
      <c r="S78" s="491"/>
      <c r="T78" s="491"/>
      <c r="U78" s="491"/>
      <c r="V78" s="491"/>
      <c r="W78" s="491"/>
      <c r="X78" s="491"/>
      <c r="Y78" s="491"/>
      <c r="Z78" s="491"/>
      <c r="AA78" s="491"/>
      <c r="AB78" s="478"/>
      <c r="AC78" s="478"/>
      <c r="AD78" s="479"/>
      <c r="AF78" s="50"/>
    </row>
    <row r="79" spans="1:32" ht="25.5" customHeight="1">
      <c r="A79" s="486">
        <v>9</v>
      </c>
      <c r="B79" s="487"/>
      <c r="C79" s="104"/>
      <c r="D79" s="435"/>
      <c r="E79" s="432"/>
      <c r="F79" s="488"/>
      <c r="G79" s="478"/>
      <c r="H79" s="478"/>
      <c r="I79" s="478"/>
      <c r="J79" s="478"/>
      <c r="K79" s="478"/>
      <c r="L79" s="478"/>
      <c r="M79" s="51"/>
      <c r="N79" s="489"/>
      <c r="O79" s="489"/>
      <c r="P79" s="490"/>
      <c r="Q79" s="490"/>
      <c r="R79" s="491"/>
      <c r="S79" s="491"/>
      <c r="T79" s="491"/>
      <c r="U79" s="491"/>
      <c r="V79" s="491"/>
      <c r="W79" s="491"/>
      <c r="X79" s="491"/>
      <c r="Y79" s="491"/>
      <c r="Z79" s="491"/>
      <c r="AA79" s="491"/>
      <c r="AB79" s="478"/>
      <c r="AC79" s="478"/>
      <c r="AD79" s="479"/>
      <c r="AF79" s="50"/>
    </row>
    <row r="80" spans="1:32" ht="25.5" customHeight="1">
      <c r="A80" s="486">
        <v>10</v>
      </c>
      <c r="B80" s="487"/>
      <c r="C80" s="104"/>
      <c r="D80" s="435"/>
      <c r="E80" s="432"/>
      <c r="F80" s="488"/>
      <c r="G80" s="478"/>
      <c r="H80" s="478"/>
      <c r="I80" s="478"/>
      <c r="J80" s="478"/>
      <c r="K80" s="478"/>
      <c r="L80" s="478"/>
      <c r="M80" s="51"/>
      <c r="N80" s="489"/>
      <c r="O80" s="489"/>
      <c r="P80" s="490"/>
      <c r="Q80" s="490"/>
      <c r="R80" s="491"/>
      <c r="S80" s="491"/>
      <c r="T80" s="491"/>
      <c r="U80" s="491"/>
      <c r="V80" s="491"/>
      <c r="W80" s="491"/>
      <c r="X80" s="491"/>
      <c r="Y80" s="491"/>
      <c r="Z80" s="491"/>
      <c r="AA80" s="491"/>
      <c r="AB80" s="478"/>
      <c r="AC80" s="478"/>
      <c r="AD80" s="479"/>
      <c r="AF80" s="50"/>
    </row>
    <row r="81" spans="1:32" ht="26.25" customHeight="1" thickBot="1">
      <c r="A81" s="458" t="s">
        <v>717</v>
      </c>
      <c r="B81" s="458"/>
      <c r="C81" s="458"/>
      <c r="D81" s="458"/>
      <c r="E81" s="458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F81" s="50"/>
    </row>
    <row r="82" spans="1:32" ht="23.25" thickBot="1">
      <c r="A82" s="480" t="s">
        <v>111</v>
      </c>
      <c r="B82" s="481"/>
      <c r="C82" s="434" t="s">
        <v>2</v>
      </c>
      <c r="D82" s="434" t="s">
        <v>37</v>
      </c>
      <c r="E82" s="434" t="s">
        <v>120</v>
      </c>
      <c r="F82" s="460" t="s">
        <v>38</v>
      </c>
      <c r="G82" s="460"/>
      <c r="H82" s="460"/>
      <c r="I82" s="460"/>
      <c r="J82" s="460"/>
      <c r="K82" s="482" t="s">
        <v>58</v>
      </c>
      <c r="L82" s="483"/>
      <c r="M82" s="483"/>
      <c r="N82" s="483"/>
      <c r="O82" s="483"/>
      <c r="P82" s="483"/>
      <c r="Q82" s="483"/>
      <c r="R82" s="483"/>
      <c r="S82" s="484"/>
      <c r="T82" s="460" t="s">
        <v>49</v>
      </c>
      <c r="U82" s="460"/>
      <c r="V82" s="482" t="s">
        <v>50</v>
      </c>
      <c r="W82" s="484"/>
      <c r="X82" s="483" t="s">
        <v>51</v>
      </c>
      <c r="Y82" s="483"/>
      <c r="Z82" s="483"/>
      <c r="AA82" s="483"/>
      <c r="AB82" s="483"/>
      <c r="AC82" s="483"/>
      <c r="AD82" s="485"/>
      <c r="AF82" s="50"/>
    </row>
    <row r="83" spans="1:32" ht="33.75" customHeight="1">
      <c r="A83" s="452">
        <v>1</v>
      </c>
      <c r="B83" s="453"/>
      <c r="C83" s="436"/>
      <c r="D83" s="436"/>
      <c r="E83" s="65"/>
      <c r="F83" s="467"/>
      <c r="G83" s="468"/>
      <c r="H83" s="468"/>
      <c r="I83" s="468"/>
      <c r="J83" s="469"/>
      <c r="K83" s="470"/>
      <c r="L83" s="471"/>
      <c r="M83" s="471"/>
      <c r="N83" s="471"/>
      <c r="O83" s="471"/>
      <c r="P83" s="471"/>
      <c r="Q83" s="471"/>
      <c r="R83" s="471"/>
      <c r="S83" s="472"/>
      <c r="T83" s="473"/>
      <c r="U83" s="474"/>
      <c r="V83" s="475"/>
      <c r="W83" s="475"/>
      <c r="X83" s="476"/>
      <c r="Y83" s="476"/>
      <c r="Z83" s="476"/>
      <c r="AA83" s="476"/>
      <c r="AB83" s="476"/>
      <c r="AC83" s="476"/>
      <c r="AD83" s="477"/>
      <c r="AF83" s="50"/>
    </row>
    <row r="84" spans="1:32" ht="30" customHeight="1">
      <c r="A84" s="445">
        <f>A83+1</f>
        <v>2</v>
      </c>
      <c r="B84" s="446"/>
      <c r="C84" s="435"/>
      <c r="D84" s="435"/>
      <c r="E84" s="32"/>
      <c r="F84" s="446"/>
      <c r="G84" s="446"/>
      <c r="H84" s="446"/>
      <c r="I84" s="446"/>
      <c r="J84" s="446"/>
      <c r="K84" s="461"/>
      <c r="L84" s="462"/>
      <c r="M84" s="462"/>
      <c r="N84" s="462"/>
      <c r="O84" s="462"/>
      <c r="P84" s="462"/>
      <c r="Q84" s="462"/>
      <c r="R84" s="462"/>
      <c r="S84" s="463"/>
      <c r="T84" s="464"/>
      <c r="U84" s="464"/>
      <c r="V84" s="464"/>
      <c r="W84" s="464"/>
      <c r="X84" s="465"/>
      <c r="Y84" s="465"/>
      <c r="Z84" s="465"/>
      <c r="AA84" s="465"/>
      <c r="AB84" s="465"/>
      <c r="AC84" s="465"/>
      <c r="AD84" s="466"/>
      <c r="AF84" s="50"/>
    </row>
    <row r="85" spans="1:32" ht="30" customHeight="1">
      <c r="A85" s="445">
        <f t="shared" ref="A85:A89" si="18">A84+1</f>
        <v>3</v>
      </c>
      <c r="B85" s="446"/>
      <c r="C85" s="435"/>
      <c r="D85" s="435"/>
      <c r="E85" s="32"/>
      <c r="F85" s="446"/>
      <c r="G85" s="446"/>
      <c r="H85" s="446"/>
      <c r="I85" s="446"/>
      <c r="J85" s="446"/>
      <c r="K85" s="461"/>
      <c r="L85" s="462"/>
      <c r="M85" s="462"/>
      <c r="N85" s="462"/>
      <c r="O85" s="462"/>
      <c r="P85" s="462"/>
      <c r="Q85" s="462"/>
      <c r="R85" s="462"/>
      <c r="S85" s="463"/>
      <c r="T85" s="464"/>
      <c r="U85" s="464"/>
      <c r="V85" s="464"/>
      <c r="W85" s="464"/>
      <c r="X85" s="465"/>
      <c r="Y85" s="465"/>
      <c r="Z85" s="465"/>
      <c r="AA85" s="465"/>
      <c r="AB85" s="465"/>
      <c r="AC85" s="465"/>
      <c r="AD85" s="466"/>
      <c r="AF85" s="50"/>
    </row>
    <row r="86" spans="1:32" ht="30" customHeight="1">
      <c r="A86" s="445">
        <f t="shared" si="18"/>
        <v>4</v>
      </c>
      <c r="B86" s="446"/>
      <c r="C86" s="435"/>
      <c r="D86" s="435"/>
      <c r="E86" s="32"/>
      <c r="F86" s="446"/>
      <c r="G86" s="446"/>
      <c r="H86" s="446"/>
      <c r="I86" s="446"/>
      <c r="J86" s="446"/>
      <c r="K86" s="461"/>
      <c r="L86" s="462"/>
      <c r="M86" s="462"/>
      <c r="N86" s="462"/>
      <c r="O86" s="462"/>
      <c r="P86" s="462"/>
      <c r="Q86" s="462"/>
      <c r="R86" s="462"/>
      <c r="S86" s="463"/>
      <c r="T86" s="464"/>
      <c r="U86" s="464"/>
      <c r="V86" s="464"/>
      <c r="W86" s="464"/>
      <c r="X86" s="465"/>
      <c r="Y86" s="465"/>
      <c r="Z86" s="465"/>
      <c r="AA86" s="465"/>
      <c r="AB86" s="465"/>
      <c r="AC86" s="465"/>
      <c r="AD86" s="466"/>
      <c r="AF86" s="50"/>
    </row>
    <row r="87" spans="1:32" ht="30" customHeight="1">
      <c r="A87" s="445">
        <f t="shared" si="18"/>
        <v>5</v>
      </c>
      <c r="B87" s="446"/>
      <c r="C87" s="435"/>
      <c r="D87" s="435"/>
      <c r="E87" s="32"/>
      <c r="F87" s="446"/>
      <c r="G87" s="446"/>
      <c r="H87" s="446"/>
      <c r="I87" s="446"/>
      <c r="J87" s="446"/>
      <c r="K87" s="461"/>
      <c r="L87" s="462"/>
      <c r="M87" s="462"/>
      <c r="N87" s="462"/>
      <c r="O87" s="462"/>
      <c r="P87" s="462"/>
      <c r="Q87" s="462"/>
      <c r="R87" s="462"/>
      <c r="S87" s="463"/>
      <c r="T87" s="464"/>
      <c r="U87" s="464"/>
      <c r="V87" s="464"/>
      <c r="W87" s="464"/>
      <c r="X87" s="465"/>
      <c r="Y87" s="465"/>
      <c r="Z87" s="465"/>
      <c r="AA87" s="465"/>
      <c r="AB87" s="465"/>
      <c r="AC87" s="465"/>
      <c r="AD87" s="466"/>
      <c r="AF87" s="50"/>
    </row>
    <row r="88" spans="1:32" ht="30" customHeight="1">
      <c r="A88" s="445">
        <f t="shared" si="18"/>
        <v>6</v>
      </c>
      <c r="B88" s="446"/>
      <c r="C88" s="435"/>
      <c r="D88" s="435"/>
      <c r="E88" s="32"/>
      <c r="F88" s="446"/>
      <c r="G88" s="446"/>
      <c r="H88" s="446"/>
      <c r="I88" s="446"/>
      <c r="J88" s="446"/>
      <c r="K88" s="461"/>
      <c r="L88" s="462"/>
      <c r="M88" s="462"/>
      <c r="N88" s="462"/>
      <c r="O88" s="462"/>
      <c r="P88" s="462"/>
      <c r="Q88" s="462"/>
      <c r="R88" s="462"/>
      <c r="S88" s="463"/>
      <c r="T88" s="464"/>
      <c r="U88" s="464"/>
      <c r="V88" s="464"/>
      <c r="W88" s="464"/>
      <c r="X88" s="465"/>
      <c r="Y88" s="465"/>
      <c r="Z88" s="465"/>
      <c r="AA88" s="465"/>
      <c r="AB88" s="465"/>
      <c r="AC88" s="465"/>
      <c r="AD88" s="466"/>
      <c r="AF88" s="50"/>
    </row>
    <row r="89" spans="1:32" ht="30" customHeight="1">
      <c r="A89" s="445">
        <f t="shared" si="18"/>
        <v>7</v>
      </c>
      <c r="B89" s="446"/>
      <c r="C89" s="435"/>
      <c r="D89" s="435"/>
      <c r="E89" s="32"/>
      <c r="F89" s="446"/>
      <c r="G89" s="446"/>
      <c r="H89" s="446"/>
      <c r="I89" s="446"/>
      <c r="J89" s="446"/>
      <c r="K89" s="461"/>
      <c r="L89" s="462"/>
      <c r="M89" s="462"/>
      <c r="N89" s="462"/>
      <c r="O89" s="462"/>
      <c r="P89" s="462"/>
      <c r="Q89" s="462"/>
      <c r="R89" s="462"/>
      <c r="S89" s="463"/>
      <c r="T89" s="464"/>
      <c r="U89" s="464"/>
      <c r="V89" s="464"/>
      <c r="W89" s="464"/>
      <c r="X89" s="465"/>
      <c r="Y89" s="465"/>
      <c r="Z89" s="465"/>
      <c r="AA89" s="465"/>
      <c r="AB89" s="465"/>
      <c r="AC89" s="465"/>
      <c r="AD89" s="466"/>
      <c r="AF89" s="50"/>
    </row>
    <row r="90" spans="1:32" ht="36" thickBot="1">
      <c r="A90" s="458" t="s">
        <v>718</v>
      </c>
      <c r="B90" s="458"/>
      <c r="C90" s="458"/>
      <c r="D90" s="458"/>
      <c r="E90" s="458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F90" s="50"/>
    </row>
    <row r="91" spans="1:32" ht="30.75" customHeight="1" thickBot="1">
      <c r="A91" s="459" t="s">
        <v>111</v>
      </c>
      <c r="B91" s="460"/>
      <c r="C91" s="450" t="s">
        <v>52</v>
      </c>
      <c r="D91" s="450"/>
      <c r="E91" s="450" t="s">
        <v>53</v>
      </c>
      <c r="F91" s="450"/>
      <c r="G91" s="450"/>
      <c r="H91" s="450"/>
      <c r="I91" s="450"/>
      <c r="J91" s="450"/>
      <c r="K91" s="450" t="s">
        <v>54</v>
      </c>
      <c r="L91" s="450"/>
      <c r="M91" s="450"/>
      <c r="N91" s="450"/>
      <c r="O91" s="450"/>
      <c r="P91" s="450"/>
      <c r="Q91" s="450"/>
      <c r="R91" s="450"/>
      <c r="S91" s="450"/>
      <c r="T91" s="450" t="s">
        <v>55</v>
      </c>
      <c r="U91" s="450"/>
      <c r="V91" s="450" t="s">
        <v>56</v>
      </c>
      <c r="W91" s="450"/>
      <c r="X91" s="450"/>
      <c r="Y91" s="450" t="s">
        <v>51</v>
      </c>
      <c r="Z91" s="450"/>
      <c r="AA91" s="450"/>
      <c r="AB91" s="450"/>
      <c r="AC91" s="450"/>
      <c r="AD91" s="451"/>
      <c r="AF91" s="50"/>
    </row>
    <row r="92" spans="1:32" ht="30.75" customHeight="1">
      <c r="A92" s="452">
        <v>1</v>
      </c>
      <c r="B92" s="453"/>
      <c r="C92" s="454"/>
      <c r="D92" s="454"/>
      <c r="E92" s="454"/>
      <c r="F92" s="454"/>
      <c r="G92" s="454"/>
      <c r="H92" s="454"/>
      <c r="I92" s="454"/>
      <c r="J92" s="454"/>
      <c r="K92" s="454"/>
      <c r="L92" s="454"/>
      <c r="M92" s="454"/>
      <c r="N92" s="454"/>
      <c r="O92" s="454"/>
      <c r="P92" s="454"/>
      <c r="Q92" s="454"/>
      <c r="R92" s="454"/>
      <c r="S92" s="454"/>
      <c r="T92" s="454"/>
      <c r="U92" s="454"/>
      <c r="V92" s="455"/>
      <c r="W92" s="455"/>
      <c r="X92" s="455"/>
      <c r="Y92" s="456"/>
      <c r="Z92" s="456"/>
      <c r="AA92" s="456"/>
      <c r="AB92" s="456"/>
      <c r="AC92" s="456"/>
      <c r="AD92" s="457"/>
      <c r="AF92" s="50"/>
    </row>
    <row r="93" spans="1:32" ht="30.75" customHeight="1">
      <c r="A93" s="445">
        <v>2</v>
      </c>
      <c r="B93" s="446"/>
      <c r="C93" s="447"/>
      <c r="D93" s="447"/>
      <c r="E93" s="447"/>
      <c r="F93" s="447"/>
      <c r="G93" s="447"/>
      <c r="H93" s="447"/>
      <c r="I93" s="447"/>
      <c r="J93" s="447"/>
      <c r="K93" s="447"/>
      <c r="L93" s="447"/>
      <c r="M93" s="447"/>
      <c r="N93" s="447"/>
      <c r="O93" s="447"/>
      <c r="P93" s="447"/>
      <c r="Q93" s="447"/>
      <c r="R93" s="447"/>
      <c r="S93" s="447"/>
      <c r="T93" s="448"/>
      <c r="U93" s="448"/>
      <c r="V93" s="449"/>
      <c r="W93" s="449"/>
      <c r="X93" s="449"/>
      <c r="Y93" s="437"/>
      <c r="Z93" s="437"/>
      <c r="AA93" s="437"/>
      <c r="AB93" s="437"/>
      <c r="AC93" s="437"/>
      <c r="AD93" s="438"/>
      <c r="AF93" s="50"/>
    </row>
    <row r="94" spans="1:32" ht="30.75" customHeight="1" thickBot="1">
      <c r="A94" s="439">
        <v>3</v>
      </c>
      <c r="B94" s="440"/>
      <c r="C94" s="441"/>
      <c r="D94" s="441"/>
      <c r="E94" s="441"/>
      <c r="F94" s="441"/>
      <c r="G94" s="441"/>
      <c r="H94" s="441"/>
      <c r="I94" s="441"/>
      <c r="J94" s="441"/>
      <c r="K94" s="441"/>
      <c r="L94" s="441"/>
      <c r="M94" s="441"/>
      <c r="N94" s="441"/>
      <c r="O94" s="441"/>
      <c r="P94" s="441"/>
      <c r="Q94" s="441"/>
      <c r="R94" s="441"/>
      <c r="S94" s="441"/>
      <c r="T94" s="441"/>
      <c r="U94" s="441"/>
      <c r="V94" s="442"/>
      <c r="W94" s="442"/>
      <c r="X94" s="442"/>
      <c r="Y94" s="443"/>
      <c r="Z94" s="443"/>
      <c r="AA94" s="443"/>
      <c r="AB94" s="443"/>
      <c r="AC94" s="443"/>
      <c r="AD94" s="444"/>
      <c r="AF94" s="50"/>
    </row>
  </sheetData>
  <mergeCells count="232">
    <mergeCell ref="Y93:AD93"/>
    <mergeCell ref="A94:B94"/>
    <mergeCell ref="C94:D94"/>
    <mergeCell ref="E94:J94"/>
    <mergeCell ref="K94:S94"/>
    <mergeCell ref="T94:U94"/>
    <mergeCell ref="V94:X94"/>
    <mergeCell ref="Y94:AD94"/>
    <mergeCell ref="A93:B93"/>
    <mergeCell ref="C93:D93"/>
    <mergeCell ref="E93:J93"/>
    <mergeCell ref="K93:S93"/>
    <mergeCell ref="T93:U93"/>
    <mergeCell ref="V93:X93"/>
    <mergeCell ref="V91:X91"/>
    <mergeCell ref="Y91:AD91"/>
    <mergeCell ref="A92:B92"/>
    <mergeCell ref="C92:D92"/>
    <mergeCell ref="E92:J92"/>
    <mergeCell ref="K92:S92"/>
    <mergeCell ref="T92:U92"/>
    <mergeCell ref="V92:X92"/>
    <mergeCell ref="Y92:AD92"/>
    <mergeCell ref="A90:E90"/>
    <mergeCell ref="A91:B91"/>
    <mergeCell ref="C91:D91"/>
    <mergeCell ref="E91:J91"/>
    <mergeCell ref="K91:S91"/>
    <mergeCell ref="T91:U91"/>
    <mergeCell ref="A89:B89"/>
    <mergeCell ref="F89:J89"/>
    <mergeCell ref="K89:S89"/>
    <mergeCell ref="T89:U89"/>
    <mergeCell ref="V89:W89"/>
    <mergeCell ref="X89:AD89"/>
    <mergeCell ref="A88:B88"/>
    <mergeCell ref="F88:J88"/>
    <mergeCell ref="K88:S88"/>
    <mergeCell ref="T88:U88"/>
    <mergeCell ref="V88:W88"/>
    <mergeCell ref="X88:AD88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B80:AD80"/>
    <mergeCell ref="A81:E81"/>
    <mergeCell ref="A82:B82"/>
    <mergeCell ref="F82:J82"/>
    <mergeCell ref="K82:S82"/>
    <mergeCell ref="T82:U82"/>
    <mergeCell ref="V82:W82"/>
    <mergeCell ref="X82:AD82"/>
    <mergeCell ref="A80:B80"/>
    <mergeCell ref="F80:J80"/>
    <mergeCell ref="K80:L80"/>
    <mergeCell ref="N80:O80"/>
    <mergeCell ref="P80:Q80"/>
    <mergeCell ref="R80:AA80"/>
    <mergeCell ref="AB78:AD78"/>
    <mergeCell ref="A79:B79"/>
    <mergeCell ref="F79:J79"/>
    <mergeCell ref="K79:L79"/>
    <mergeCell ref="N79:O79"/>
    <mergeCell ref="P79:Q79"/>
    <mergeCell ref="R79:AA79"/>
    <mergeCell ref="AB79:AD79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R70:AA70"/>
    <mergeCell ref="AB70:AD70"/>
    <mergeCell ref="A71:B71"/>
    <mergeCell ref="F71:J71"/>
    <mergeCell ref="K71:L71"/>
    <mergeCell ref="N71:O71"/>
    <mergeCell ref="P71:Q71"/>
    <mergeCell ref="R71:AA71"/>
    <mergeCell ref="AB71:AD71"/>
    <mergeCell ref="A69:E69"/>
    <mergeCell ref="A70:B70"/>
    <mergeCell ref="F70:J70"/>
    <mergeCell ref="K70:L70"/>
    <mergeCell ref="N70:O70"/>
    <mergeCell ref="P70:Q70"/>
    <mergeCell ref="A67:B67"/>
    <mergeCell ref="F67:M67"/>
    <mergeCell ref="P67:Q67"/>
    <mergeCell ref="R67:U67"/>
    <mergeCell ref="V67:AD67"/>
    <mergeCell ref="A68:B68"/>
    <mergeCell ref="F68:M68"/>
    <mergeCell ref="P68:Q68"/>
    <mergeCell ref="R68:U68"/>
    <mergeCell ref="V68:AD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D4:AD5"/>
    <mergeCell ref="A29:H29"/>
    <mergeCell ref="A56:E56"/>
    <mergeCell ref="A57:M57"/>
    <mergeCell ref="N57:AD57"/>
    <mergeCell ref="A58:B58"/>
    <mergeCell ref="F58:M58"/>
    <mergeCell ref="P58:Q58"/>
    <mergeCell ref="R58:U58"/>
    <mergeCell ref="V58:AD58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4" max="2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6"/>
  <sheetViews>
    <sheetView view="pageBreakPreview" zoomScaleNormal="100" zoomScaleSheetLayoutView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AH14" sqref="AH14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61" t="s">
        <v>180</v>
      </c>
      <c r="B1" s="561"/>
      <c r="C1" s="561"/>
      <c r="D1" s="561"/>
      <c r="E1" s="561"/>
      <c r="F1" s="561"/>
      <c r="G1" s="561"/>
      <c r="H1" s="561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3" t="s">
        <v>60</v>
      </c>
      <c r="B3" s="114">
        <f>'01'!AD6</f>
        <v>0.95833333333333337</v>
      </c>
      <c r="C3" s="114">
        <f>'02'!AD6</f>
        <v>0.875</v>
      </c>
      <c r="D3" s="115">
        <f>'03'!AD6</f>
        <v>0.875</v>
      </c>
      <c r="E3" s="115">
        <f>'04'!AD6</f>
        <v>0</v>
      </c>
      <c r="F3" s="115">
        <f>'05'!AD6</f>
        <v>0</v>
      </c>
      <c r="G3" s="115">
        <f>'06'!AD6</f>
        <v>0</v>
      </c>
      <c r="H3" s="115">
        <f>'07'!AD6</f>
        <v>0</v>
      </c>
      <c r="I3" s="115">
        <f>'08'!AD6</f>
        <v>0.75</v>
      </c>
      <c r="J3" s="115">
        <f>'09'!AD6</f>
        <v>1</v>
      </c>
      <c r="K3" s="115">
        <f>'10'!AD6+'10'!AD7</f>
        <v>0.79166666666666663</v>
      </c>
      <c r="L3" s="115">
        <f>'11'!AD6</f>
        <v>0.29166666666666669</v>
      </c>
      <c r="M3" s="115"/>
      <c r="N3" s="116"/>
      <c r="O3" s="115">
        <f>'14'!AD6</f>
        <v>0.79166666666666663</v>
      </c>
      <c r="P3" s="115">
        <f>'15'!AD6</f>
        <v>0.5</v>
      </c>
      <c r="Q3" s="115">
        <f>'16'!AD6</f>
        <v>0.83333333333333337</v>
      </c>
      <c r="R3" s="115">
        <f>'17'!AD6</f>
        <v>0.20833333333333334</v>
      </c>
      <c r="S3" s="115">
        <f>'18'!AD6</f>
        <v>0</v>
      </c>
      <c r="T3" s="115"/>
      <c r="U3" s="115"/>
      <c r="V3" s="115">
        <f>'21'!AD6</f>
        <v>0</v>
      </c>
      <c r="W3" s="116">
        <f>'22'!AD6</f>
        <v>0</v>
      </c>
      <c r="X3" s="115">
        <f>'23'!AD6</f>
        <v>0.66666666666666663</v>
      </c>
      <c r="Y3" s="115">
        <f>'24'!AD6</f>
        <v>0.79166666666666663</v>
      </c>
      <c r="Z3" s="115">
        <f>'25'!AD6</f>
        <v>1</v>
      </c>
      <c r="AA3" s="115">
        <f>'26'!AD6</f>
        <v>1</v>
      </c>
      <c r="AB3" s="115"/>
      <c r="AC3" s="115">
        <f>'28'!AD6</f>
        <v>1</v>
      </c>
      <c r="AD3" s="115">
        <f>'29'!AD6</f>
        <v>1</v>
      </c>
      <c r="AE3" s="115">
        <f>'30'!AD6+'30'!AD7</f>
        <v>0.875</v>
      </c>
      <c r="AF3" s="117"/>
      <c r="AG3" s="118">
        <f>SUM(B3:AF3)/30</f>
        <v>0.47361111111111115</v>
      </c>
    </row>
    <row r="4" spans="1:33" ht="21.75" customHeight="1">
      <c r="A4" s="101" t="s">
        <v>61</v>
      </c>
      <c r="B4" s="98">
        <f>'01'!AD7</f>
        <v>0.91666666666666663</v>
      </c>
      <c r="C4" s="98">
        <f>'02'!AD7</f>
        <v>0.91666666666666663</v>
      </c>
      <c r="D4" s="77">
        <f>'03'!AD7</f>
        <v>0.875</v>
      </c>
      <c r="E4" s="77">
        <f>'04'!AD7</f>
        <v>1</v>
      </c>
      <c r="F4" s="77">
        <f>'05'!AD7</f>
        <v>1</v>
      </c>
      <c r="G4" s="119">
        <f>'06'!AD7</f>
        <v>0.41666666666666669</v>
      </c>
      <c r="H4" s="77">
        <f>'07'!AD7</f>
        <v>0.83333333333333337</v>
      </c>
      <c r="I4" s="77">
        <f>'08'!AD7</f>
        <v>1</v>
      </c>
      <c r="J4" s="77">
        <f>'09'!AD7</f>
        <v>1</v>
      </c>
      <c r="K4" s="77">
        <f>'10'!AD8</f>
        <v>1</v>
      </c>
      <c r="L4" s="77">
        <f>'11'!AD7</f>
        <v>1</v>
      </c>
      <c r="M4" s="77"/>
      <c r="N4" s="77"/>
      <c r="O4" s="77">
        <f>'14'!AD7</f>
        <v>0.66666666666666663</v>
      </c>
      <c r="P4" s="77">
        <f>'15'!AD7</f>
        <v>0.95833333333333337</v>
      </c>
      <c r="Q4" s="77">
        <f>'16'!AD7</f>
        <v>0.91666666666666663</v>
      </c>
      <c r="R4" s="77">
        <f>'17'!AD7</f>
        <v>0.5</v>
      </c>
      <c r="S4" s="77">
        <f>'18'!AD7</f>
        <v>0</v>
      </c>
      <c r="T4" s="77"/>
      <c r="U4" s="77"/>
      <c r="V4" s="77">
        <f>'21'!AD7</f>
        <v>0</v>
      </c>
      <c r="W4" s="77">
        <f>'22'!AD7</f>
        <v>0</v>
      </c>
      <c r="X4" s="77">
        <f>'23'!AD7</f>
        <v>0</v>
      </c>
      <c r="Y4" s="77">
        <f>'24'!AD7</f>
        <v>0.66666666666666663</v>
      </c>
      <c r="Z4" s="77">
        <f>'25'!AD7</f>
        <v>0.33333333333333331</v>
      </c>
      <c r="AA4" s="77">
        <f>'26'!AD7</f>
        <v>0</v>
      </c>
      <c r="AB4" s="77"/>
      <c r="AC4" s="77">
        <f>'28'!AD7</f>
        <v>0</v>
      </c>
      <c r="AD4" s="77">
        <f>'29'!AD7</f>
        <v>0.45833333333333331</v>
      </c>
      <c r="AE4" s="77">
        <f>'30'!AD8</f>
        <v>0.875</v>
      </c>
      <c r="AF4" s="78"/>
      <c r="AG4" s="79">
        <f t="shared" ref="AG4:AG24" si="0">SUM(B4:AF4)/30</f>
        <v>0.51111111111111107</v>
      </c>
    </row>
    <row r="5" spans="1:33" ht="21.75" customHeight="1">
      <c r="A5" s="101" t="s">
        <v>62</v>
      </c>
      <c r="B5" s="98">
        <f>'01'!AD8</f>
        <v>1</v>
      </c>
      <c r="C5" s="98">
        <f>'02'!AD8</f>
        <v>0.16666666666666666</v>
      </c>
      <c r="D5" s="77">
        <f>'03'!AD8</f>
        <v>0.54166666666666663</v>
      </c>
      <c r="E5" s="77">
        <f>'04'!AD8</f>
        <v>1</v>
      </c>
      <c r="F5" s="77">
        <f>'05'!AD8</f>
        <v>1</v>
      </c>
      <c r="G5" s="77">
        <f>'06'!AD8</f>
        <v>0.41666666666666669</v>
      </c>
      <c r="H5" s="77">
        <f>'07'!AD8</f>
        <v>1</v>
      </c>
      <c r="I5" s="77">
        <f>'08'!AD8</f>
        <v>1</v>
      </c>
      <c r="J5" s="77">
        <f>'09'!AD8</f>
        <v>1</v>
      </c>
      <c r="K5" s="77">
        <f>'10'!AD9</f>
        <v>0.75</v>
      </c>
      <c r="L5" s="77">
        <f>'11'!AD8</f>
        <v>1</v>
      </c>
      <c r="M5" s="77"/>
      <c r="N5" s="77"/>
      <c r="O5" s="77">
        <f>'14'!AD8</f>
        <v>1</v>
      </c>
      <c r="P5" s="77">
        <f>'15'!AD8</f>
        <v>0.95833333333333337</v>
      </c>
      <c r="Q5" s="77">
        <f>'16'!AD8</f>
        <v>1</v>
      </c>
      <c r="R5" s="77">
        <f>'17'!AD8</f>
        <v>1</v>
      </c>
      <c r="S5" s="77">
        <f>'18'!AD8</f>
        <v>0.29166666666666669</v>
      </c>
      <c r="T5" s="77"/>
      <c r="U5" s="77"/>
      <c r="V5" s="77">
        <f>'21'!AD8</f>
        <v>1</v>
      </c>
      <c r="W5" s="119">
        <f>'22'!AD8</f>
        <v>1</v>
      </c>
      <c r="X5" s="77">
        <f>'23'!AD8</f>
        <v>0</v>
      </c>
      <c r="Y5" s="77">
        <f>'24'!AD8</f>
        <v>0</v>
      </c>
      <c r="Z5" s="77">
        <f>'25'!AD8</f>
        <v>0</v>
      </c>
      <c r="AA5" s="77">
        <f>'26'!AD8</f>
        <v>1</v>
      </c>
      <c r="AB5" s="77"/>
      <c r="AC5" s="77">
        <f>'28'!AD8</f>
        <v>1</v>
      </c>
      <c r="AD5" s="77">
        <f>'29'!AD8</f>
        <v>1</v>
      </c>
      <c r="AE5" s="77">
        <f>'30'!AD9</f>
        <v>0</v>
      </c>
      <c r="AF5" s="78"/>
      <c r="AG5" s="79">
        <f t="shared" si="0"/>
        <v>0.60416666666666663</v>
      </c>
    </row>
    <row r="6" spans="1:33" ht="21.75" customHeight="1">
      <c r="A6" s="101" t="s">
        <v>63</v>
      </c>
      <c r="B6" s="98">
        <f>'01'!AD9</f>
        <v>1</v>
      </c>
      <c r="C6" s="98">
        <f>'02'!AD9</f>
        <v>0.95833333333333337</v>
      </c>
      <c r="D6" s="77">
        <f>'03'!AD9</f>
        <v>1</v>
      </c>
      <c r="E6" s="77">
        <f>'04'!AD9</f>
        <v>1</v>
      </c>
      <c r="F6" s="77">
        <f>'05'!AD9</f>
        <v>1</v>
      </c>
      <c r="G6" s="77">
        <f>'06'!AD9</f>
        <v>0.41666666666666669</v>
      </c>
      <c r="H6" s="77">
        <f>'07'!AD9</f>
        <v>0.79166666666666663</v>
      </c>
      <c r="I6" s="77">
        <f>'08'!AD9</f>
        <v>1</v>
      </c>
      <c r="J6" s="77">
        <f>'09'!AD9</f>
        <v>1</v>
      </c>
      <c r="K6" s="77">
        <f>'10'!AD10</f>
        <v>1</v>
      </c>
      <c r="L6" s="77">
        <f>'11'!AD9</f>
        <v>1</v>
      </c>
      <c r="M6" s="77"/>
      <c r="N6" s="77"/>
      <c r="O6" s="77">
        <f>'14'!AD9</f>
        <v>1</v>
      </c>
      <c r="P6" s="77">
        <f>'15'!AD9</f>
        <v>1</v>
      </c>
      <c r="Q6" s="77">
        <f>'16'!AD9</f>
        <v>0.75</v>
      </c>
      <c r="R6" s="77">
        <f>'17'!AD9</f>
        <v>1</v>
      </c>
      <c r="S6" s="77">
        <f>'18'!AD9</f>
        <v>0.29166666666666669</v>
      </c>
      <c r="T6" s="77"/>
      <c r="U6" s="77"/>
      <c r="V6" s="77">
        <f>'21'!AD9</f>
        <v>0</v>
      </c>
      <c r="W6" s="77">
        <f>'22'!AD9</f>
        <v>0</v>
      </c>
      <c r="X6" s="77">
        <f>'23'!AD9</f>
        <v>0.20833333333333334</v>
      </c>
      <c r="Y6" s="77">
        <f>'24'!AD9</f>
        <v>0.75</v>
      </c>
      <c r="Z6" s="77">
        <f>'25'!AD9</f>
        <v>1</v>
      </c>
      <c r="AA6" s="77">
        <f>'26'!AD9</f>
        <v>0</v>
      </c>
      <c r="AB6" s="77"/>
      <c r="AC6" s="77">
        <f>'28'!AD9</f>
        <v>0</v>
      </c>
      <c r="AD6" s="77">
        <f>'29'!AD9</f>
        <v>0</v>
      </c>
      <c r="AE6" s="77">
        <f>'30'!AD10</f>
        <v>0</v>
      </c>
      <c r="AF6" s="78"/>
      <c r="AG6" s="79">
        <f t="shared" si="0"/>
        <v>0.53888888888888897</v>
      </c>
    </row>
    <row r="7" spans="1:33" ht="21.75" customHeight="1">
      <c r="A7" s="101" t="s">
        <v>64</v>
      </c>
      <c r="B7" s="98">
        <f>'01'!AD10</f>
        <v>0.83333333333333337</v>
      </c>
      <c r="C7" s="98">
        <f>'02'!AD10</f>
        <v>0.95833333333333337</v>
      </c>
      <c r="D7" s="77">
        <f>'03'!AD10</f>
        <v>1</v>
      </c>
      <c r="E7" s="77">
        <f>'04'!AD10</f>
        <v>1</v>
      </c>
      <c r="F7" s="77">
        <f>'05'!AD10</f>
        <v>1</v>
      </c>
      <c r="G7" s="77">
        <f>'06'!AD10</f>
        <v>0.41666666666666669</v>
      </c>
      <c r="H7" s="77">
        <f>'07'!AD10</f>
        <v>1</v>
      </c>
      <c r="I7" s="77">
        <f>'08'!AD10</f>
        <v>1</v>
      </c>
      <c r="J7" s="77">
        <f>'09'!AD10</f>
        <v>1</v>
      </c>
      <c r="K7" s="77">
        <f>'10'!AD11</f>
        <v>1</v>
      </c>
      <c r="L7" s="77">
        <f>'11'!AD10</f>
        <v>1</v>
      </c>
      <c r="M7" s="77"/>
      <c r="N7" s="77"/>
      <c r="O7" s="77">
        <f>'14'!AD10</f>
        <v>1</v>
      </c>
      <c r="P7" s="77">
        <f>'15'!AD10</f>
        <v>0</v>
      </c>
      <c r="Q7" s="77">
        <f>'16'!AD10</f>
        <v>0</v>
      </c>
      <c r="R7" s="77">
        <f>'17'!AD10</f>
        <v>0</v>
      </c>
      <c r="S7" s="77">
        <f>'18'!AD10</f>
        <v>0</v>
      </c>
      <c r="T7" s="77"/>
      <c r="U7" s="77"/>
      <c r="V7" s="77">
        <f>'21'!AD10</f>
        <v>0.33333333333333331</v>
      </c>
      <c r="W7" s="77">
        <f>'22'!AD10</f>
        <v>0.75</v>
      </c>
      <c r="X7" s="77">
        <f>'23'!AD10</f>
        <v>0.75</v>
      </c>
      <c r="Y7" s="77">
        <f>'24'!AD10</f>
        <v>0</v>
      </c>
      <c r="Z7" s="77">
        <f>'25'!AD10</f>
        <v>0.45833333333333331</v>
      </c>
      <c r="AA7" s="77">
        <f>'26'!AD10</f>
        <v>0</v>
      </c>
      <c r="AB7" s="77"/>
      <c r="AC7" s="77">
        <f>'28'!AD10</f>
        <v>0</v>
      </c>
      <c r="AD7" s="77">
        <f>'29'!AD10</f>
        <v>0</v>
      </c>
      <c r="AE7" s="77">
        <f>'30'!AD11</f>
        <v>0.70833333333333337</v>
      </c>
      <c r="AF7" s="78"/>
      <c r="AG7" s="79">
        <f t="shared" si="0"/>
        <v>0.4736111111111112</v>
      </c>
    </row>
    <row r="8" spans="1:33" ht="21.75" customHeight="1">
      <c r="A8" s="101" t="s">
        <v>65</v>
      </c>
      <c r="B8" s="98">
        <f>'01'!AD11</f>
        <v>0</v>
      </c>
      <c r="C8" s="98">
        <f>'02'!AD11</f>
        <v>0.79166666666666663</v>
      </c>
      <c r="D8" s="77">
        <f>'03'!AD11</f>
        <v>1</v>
      </c>
      <c r="E8" s="77">
        <f>'04'!AD11</f>
        <v>1</v>
      </c>
      <c r="F8" s="77">
        <f>'05'!AD11</f>
        <v>1</v>
      </c>
      <c r="G8" s="77">
        <f>'06'!AD11</f>
        <v>0.375</v>
      </c>
      <c r="H8" s="77">
        <f>'07'!AD11</f>
        <v>0</v>
      </c>
      <c r="I8" s="77">
        <f>'08'!AD11</f>
        <v>0.75</v>
      </c>
      <c r="J8" s="77">
        <f>'09'!AD11</f>
        <v>0.41666666666666669</v>
      </c>
      <c r="K8" s="77">
        <f>'10'!AD12</f>
        <v>0</v>
      </c>
      <c r="L8" s="77">
        <f>'11'!AD11</f>
        <v>0.95833333333333337</v>
      </c>
      <c r="M8" s="77"/>
      <c r="N8" s="77"/>
      <c r="O8" s="77">
        <f>'14'!AD11</f>
        <v>0.20833333333333334</v>
      </c>
      <c r="P8" s="77">
        <f>'15'!AD11</f>
        <v>0</v>
      </c>
      <c r="Q8" s="77">
        <f>'16'!AD11</f>
        <v>0</v>
      </c>
      <c r="R8" s="77">
        <f>'17'!AD11</f>
        <v>0.625</v>
      </c>
      <c r="S8" s="77">
        <f>'18'!AD11</f>
        <v>0.29166666666666669</v>
      </c>
      <c r="T8" s="77"/>
      <c r="U8" s="77"/>
      <c r="V8" s="77">
        <f>'21'!AD11</f>
        <v>1</v>
      </c>
      <c r="W8" s="77">
        <f>'22'!AD11</f>
        <v>1</v>
      </c>
      <c r="X8" s="77">
        <f>'23'!AD11</f>
        <v>1</v>
      </c>
      <c r="Y8" s="77">
        <f>'24'!AD11</f>
        <v>1</v>
      </c>
      <c r="Z8" s="77">
        <f>'25'!AD11</f>
        <v>0.70833333333333337</v>
      </c>
      <c r="AA8" s="77">
        <f>'26'!AD11</f>
        <v>0</v>
      </c>
      <c r="AB8" s="77"/>
      <c r="AC8" s="77">
        <f>'28'!AD11</f>
        <v>0.66666666666666663</v>
      </c>
      <c r="AD8" s="77">
        <f>'29'!AD11</f>
        <v>0.41666666666666669</v>
      </c>
      <c r="AE8" s="77">
        <f>'30'!AD12</f>
        <v>0</v>
      </c>
      <c r="AF8" s="78"/>
      <c r="AG8" s="79">
        <f t="shared" si="0"/>
        <v>0.44027777777777771</v>
      </c>
    </row>
    <row r="9" spans="1:33" ht="21.75" customHeight="1">
      <c r="A9" s="101" t="s">
        <v>66</v>
      </c>
      <c r="B9" s="98">
        <f>'01'!AD12</f>
        <v>0</v>
      </c>
      <c r="C9" s="98">
        <f>'02'!AD12</f>
        <v>0</v>
      </c>
      <c r="D9" s="77">
        <f>'03'!AD12</f>
        <v>1</v>
      </c>
      <c r="E9" s="77">
        <f>'04'!AD12</f>
        <v>1</v>
      </c>
      <c r="F9" s="77">
        <f>'05'!AD12</f>
        <v>0</v>
      </c>
      <c r="G9" s="77">
        <f>'06'!AD12</f>
        <v>0.41666666666666669</v>
      </c>
      <c r="H9" s="77">
        <f>'07'!AD12</f>
        <v>0.79166666666666663</v>
      </c>
      <c r="I9" s="77">
        <f>'08'!AD12</f>
        <v>0.875</v>
      </c>
      <c r="J9" s="77">
        <f>'09'!AD12</f>
        <v>1</v>
      </c>
      <c r="K9" s="77">
        <f>'10'!AD13</f>
        <v>0</v>
      </c>
      <c r="L9" s="77">
        <f>'11'!AD12</f>
        <v>0.91666666666666663</v>
      </c>
      <c r="M9" s="77"/>
      <c r="N9" s="77"/>
      <c r="O9" s="77">
        <f>'14'!AD12</f>
        <v>0</v>
      </c>
      <c r="P9" s="77">
        <f>'15'!AD12</f>
        <v>0</v>
      </c>
      <c r="Q9" s="77">
        <f>'16'!AD12</f>
        <v>0</v>
      </c>
      <c r="R9" s="77">
        <f>'17'!AD12</f>
        <v>0.54166666666666663</v>
      </c>
      <c r="S9" s="77">
        <f>'18'!AD12</f>
        <v>0</v>
      </c>
      <c r="T9" s="77"/>
      <c r="U9" s="77"/>
      <c r="V9" s="77">
        <f>'21'!AD12</f>
        <v>0</v>
      </c>
      <c r="W9" s="77">
        <f>'22'!AD12</f>
        <v>0</v>
      </c>
      <c r="X9" s="77">
        <f>'23'!AD12</f>
        <v>0</v>
      </c>
      <c r="Y9" s="77">
        <f>'24'!AD12</f>
        <v>0.58333333333333337</v>
      </c>
      <c r="Z9" s="77">
        <f>'25'!AD12</f>
        <v>0.45833333333333331</v>
      </c>
      <c r="AA9" s="77">
        <f>'26'!AD12</f>
        <v>0.91666666666666663</v>
      </c>
      <c r="AB9" s="77"/>
      <c r="AC9" s="77">
        <f>'28'!AD12</f>
        <v>0.54166666666666663</v>
      </c>
      <c r="AD9" s="77">
        <f>'29'!AD12</f>
        <v>0.83333333333333337</v>
      </c>
      <c r="AE9" s="77">
        <f>'30'!AD13</f>
        <v>0.83333333333333337</v>
      </c>
      <c r="AF9" s="78"/>
      <c r="AG9" s="79">
        <f t="shared" si="0"/>
        <v>0.35694444444444445</v>
      </c>
    </row>
    <row r="10" spans="1:33" ht="21.75" customHeight="1">
      <c r="A10" s="101" t="s">
        <v>67</v>
      </c>
      <c r="B10" s="98">
        <f>'01'!AD13</f>
        <v>1</v>
      </c>
      <c r="C10" s="98">
        <f>'02'!AD13</f>
        <v>1</v>
      </c>
      <c r="D10" s="77">
        <f>'03'!AD13</f>
        <v>0.79166666666666663</v>
      </c>
      <c r="E10" s="77">
        <f>'04'!AD13</f>
        <v>1</v>
      </c>
      <c r="F10" s="77">
        <f>'05'!AD13</f>
        <v>1</v>
      </c>
      <c r="G10" s="77">
        <f>'06'!AD13</f>
        <v>0.41666666666666669</v>
      </c>
      <c r="H10" s="77">
        <f>'07'!AD13</f>
        <v>1</v>
      </c>
      <c r="I10" s="77">
        <f>'08'!AD13</f>
        <v>0.83333333333333337</v>
      </c>
      <c r="J10" s="77">
        <f>'09'!AD13</f>
        <v>1</v>
      </c>
      <c r="K10" s="77">
        <f>'10'!AD14</f>
        <v>1</v>
      </c>
      <c r="L10" s="77">
        <f>'11'!AD13</f>
        <v>0.75</v>
      </c>
      <c r="M10" s="77"/>
      <c r="N10" s="77"/>
      <c r="O10" s="77">
        <f>'14'!AD13</f>
        <v>0.25</v>
      </c>
      <c r="P10" s="77">
        <f>'15'!AD13</f>
        <v>0.875</v>
      </c>
      <c r="Q10" s="77">
        <f>'16'!AD13</f>
        <v>1</v>
      </c>
      <c r="R10" s="77">
        <f>'17'!AD13</f>
        <v>0.875</v>
      </c>
      <c r="S10" s="77">
        <f>'18'!AD13</f>
        <v>0.29166666666666669</v>
      </c>
      <c r="T10" s="77"/>
      <c r="U10" s="77"/>
      <c r="V10" s="77">
        <f>'21'!AD13</f>
        <v>1</v>
      </c>
      <c r="W10" s="77">
        <f>'22'!AD13</f>
        <v>1</v>
      </c>
      <c r="X10" s="77">
        <f>'23'!AD13</f>
        <v>0.83333333333333337</v>
      </c>
      <c r="Y10" s="77">
        <f>'24'!AD13</f>
        <v>0</v>
      </c>
      <c r="Z10" s="77">
        <f>'25'!AD13</f>
        <v>0</v>
      </c>
      <c r="AA10" s="77">
        <f>'26'!AD13</f>
        <v>0</v>
      </c>
      <c r="AB10" s="77"/>
      <c r="AC10" s="77">
        <f>'28'!AD13</f>
        <v>0</v>
      </c>
      <c r="AD10" s="77">
        <f>'29'!AD13</f>
        <v>0</v>
      </c>
      <c r="AE10" s="77">
        <f>'30'!AD14</f>
        <v>0</v>
      </c>
      <c r="AF10" s="78"/>
      <c r="AG10" s="79">
        <f t="shared" si="0"/>
        <v>0.53055555555555556</v>
      </c>
    </row>
    <row r="11" spans="1:33" ht="21.75" customHeight="1">
      <c r="A11" s="106" t="s">
        <v>68</v>
      </c>
      <c r="B11" s="107">
        <f>'01'!AD14</f>
        <v>0</v>
      </c>
      <c r="C11" s="107">
        <f>'02'!AD14</f>
        <v>0</v>
      </c>
      <c r="D11" s="108">
        <f>'03'!AD14</f>
        <v>0</v>
      </c>
      <c r="E11" s="108">
        <f>'04'!AD14</f>
        <v>0.16666666666666666</v>
      </c>
      <c r="F11" s="108">
        <f>'05'!AD14</f>
        <v>0.16666666666666666</v>
      </c>
      <c r="G11" s="108">
        <f>'06'!AD14</f>
        <v>0</v>
      </c>
      <c r="H11" s="108">
        <f>'07'!AD14</f>
        <v>0.41666666666666669</v>
      </c>
      <c r="I11" s="108">
        <f>'08'!AD14</f>
        <v>0.16666666666666666</v>
      </c>
      <c r="J11" s="108">
        <f>'09'!AD14</f>
        <v>0</v>
      </c>
      <c r="K11" s="108">
        <f>'10'!AD15</f>
        <v>0</v>
      </c>
      <c r="L11" s="108">
        <f>'11'!AD14</f>
        <v>0</v>
      </c>
      <c r="M11" s="108"/>
      <c r="N11" s="108"/>
      <c r="O11" s="108">
        <f>'14'!AD14</f>
        <v>0</v>
      </c>
      <c r="P11" s="108">
        <f>'15'!AD14</f>
        <v>0</v>
      </c>
      <c r="Q11" s="108">
        <f>'16'!AD14</f>
        <v>0.16666666666666666</v>
      </c>
      <c r="R11" s="108">
        <f>'17'!AD14</f>
        <v>0</v>
      </c>
      <c r="S11" s="108">
        <f>'18'!AD14</f>
        <v>0.20833333333333334</v>
      </c>
      <c r="T11" s="108"/>
      <c r="U11" s="108"/>
      <c r="V11" s="108">
        <f>'21'!AD14</f>
        <v>0</v>
      </c>
      <c r="W11" s="108">
        <f>'22'!AD14</f>
        <v>0</v>
      </c>
      <c r="X11" s="108">
        <f>'23'!AD14</f>
        <v>0</v>
      </c>
      <c r="Y11" s="108">
        <f>'24'!AD14</f>
        <v>0</v>
      </c>
      <c r="Z11" s="108">
        <f>'25'!AD14</f>
        <v>0</v>
      </c>
      <c r="AA11" s="108">
        <f>'26'!AD14</f>
        <v>0.16666666666666666</v>
      </c>
      <c r="AB11" s="108"/>
      <c r="AC11" s="108">
        <f>'28'!AD14</f>
        <v>0.375</v>
      </c>
      <c r="AD11" s="108">
        <f>'29'!AD14</f>
        <v>0.29166666666666669</v>
      </c>
      <c r="AE11" s="108">
        <f>'30'!AD15</f>
        <v>0</v>
      </c>
      <c r="AF11" s="109"/>
      <c r="AG11" s="110">
        <f t="shared" si="0"/>
        <v>7.0833333333333331E-2</v>
      </c>
    </row>
    <row r="12" spans="1:33" ht="21.75" customHeight="1">
      <c r="A12" s="100" t="s">
        <v>69</v>
      </c>
      <c r="B12" s="97">
        <f>'01'!AD15</f>
        <v>0</v>
      </c>
      <c r="C12" s="97">
        <f>'02'!AD15</f>
        <v>0</v>
      </c>
      <c r="D12" s="74">
        <f>'03'!AD15</f>
        <v>0</v>
      </c>
      <c r="E12" s="74">
        <f>'04'!AD15</f>
        <v>0</v>
      </c>
      <c r="F12" s="74">
        <f>'05'!AD15</f>
        <v>0</v>
      </c>
      <c r="G12" s="74">
        <f>'06'!AD15</f>
        <v>0</v>
      </c>
      <c r="H12" s="74">
        <f>'07'!AD15</f>
        <v>0</v>
      </c>
      <c r="I12" s="74">
        <f>'08'!AD15</f>
        <v>0</v>
      </c>
      <c r="J12" s="74">
        <f>'09'!AD15</f>
        <v>0</v>
      </c>
      <c r="K12" s="74">
        <f>'10'!AD16</f>
        <v>0</v>
      </c>
      <c r="L12" s="74">
        <f>'11'!AD15</f>
        <v>0</v>
      </c>
      <c r="M12" s="74"/>
      <c r="N12" s="74"/>
      <c r="O12" s="74">
        <f>'14'!AD15</f>
        <v>0</v>
      </c>
      <c r="P12" s="74">
        <f>'15'!AD15</f>
        <v>0</v>
      </c>
      <c r="Q12" s="74">
        <f>'16'!AD15</f>
        <v>0</v>
      </c>
      <c r="R12" s="74">
        <f>'17'!AD15</f>
        <v>0</v>
      </c>
      <c r="S12" s="74">
        <f>'18'!AD15</f>
        <v>0</v>
      </c>
      <c r="T12" s="74"/>
      <c r="U12" s="74"/>
      <c r="V12" s="74">
        <f>'21'!AD15</f>
        <v>0</v>
      </c>
      <c r="W12" s="74">
        <f>'22'!AD15</f>
        <v>0</v>
      </c>
      <c r="X12" s="74">
        <f>'23'!AD15</f>
        <v>0</v>
      </c>
      <c r="Y12" s="74">
        <f>'24'!AD15</f>
        <v>0</v>
      </c>
      <c r="Z12" s="74">
        <f>'25'!AD15</f>
        <v>0</v>
      </c>
      <c r="AA12" s="74">
        <f>'26'!AD15</f>
        <v>0</v>
      </c>
      <c r="AB12" s="74"/>
      <c r="AC12" s="74">
        <f>'28'!AD15</f>
        <v>0</v>
      </c>
      <c r="AD12" s="74">
        <f>'29'!AD15</f>
        <v>0</v>
      </c>
      <c r="AE12" s="74">
        <f>'30'!AD16</f>
        <v>0</v>
      </c>
      <c r="AF12" s="75"/>
      <c r="AG12" s="76">
        <f t="shared" si="0"/>
        <v>0</v>
      </c>
    </row>
    <row r="13" spans="1:33" ht="21.75" customHeight="1">
      <c r="A13" s="101" t="s">
        <v>70</v>
      </c>
      <c r="B13" s="98">
        <f>'01'!AD16</f>
        <v>0</v>
      </c>
      <c r="C13" s="98">
        <f>'02'!AD16</f>
        <v>0</v>
      </c>
      <c r="D13" s="77">
        <f>'03'!AD16</f>
        <v>0</v>
      </c>
      <c r="E13" s="77">
        <f>'04'!AD16</f>
        <v>0</v>
      </c>
      <c r="F13" s="77">
        <f>'05'!AD16</f>
        <v>0</v>
      </c>
      <c r="G13" s="77">
        <f>'06'!AD16</f>
        <v>0</v>
      </c>
      <c r="H13" s="77">
        <f>'07'!AD16</f>
        <v>0</v>
      </c>
      <c r="I13" s="77">
        <f>'08'!AD16</f>
        <v>0</v>
      </c>
      <c r="J13" s="77">
        <f>'09'!AD16</f>
        <v>0.54166666666666663</v>
      </c>
      <c r="K13" s="77">
        <f>'10'!AD17</f>
        <v>0.83333333333333337</v>
      </c>
      <c r="L13" s="77">
        <f>'11'!AD16</f>
        <v>0.58333333333333337</v>
      </c>
      <c r="M13" s="77"/>
      <c r="N13" s="77"/>
      <c r="O13" s="77">
        <f>'14'!AD16+'14'!AD17</f>
        <v>0.75</v>
      </c>
      <c r="P13" s="77">
        <f>'15'!AD16</f>
        <v>0.5</v>
      </c>
      <c r="Q13" s="77">
        <f>'16'!AD16</f>
        <v>0</v>
      </c>
      <c r="R13" s="77">
        <f>'17'!AD16</f>
        <v>0</v>
      </c>
      <c r="S13" s="77">
        <f>'18'!AD16</f>
        <v>0.125</v>
      </c>
      <c r="T13" s="77"/>
      <c r="U13" s="77"/>
      <c r="V13" s="77">
        <f>'21'!AD16</f>
        <v>0</v>
      </c>
      <c r="W13" s="77">
        <f>'22'!AD16</f>
        <v>0</v>
      </c>
      <c r="X13" s="77">
        <f>'23'!AD16</f>
        <v>0</v>
      </c>
      <c r="Y13" s="77">
        <f>'24'!AD16</f>
        <v>0.45833333333333331</v>
      </c>
      <c r="Z13" s="77">
        <f>'25'!AD16</f>
        <v>0</v>
      </c>
      <c r="AA13" s="77">
        <f>'26'!AD16</f>
        <v>1.0001730103806228</v>
      </c>
      <c r="AB13" s="77"/>
      <c r="AC13" s="77">
        <f>'28'!AD16</f>
        <v>0</v>
      </c>
      <c r="AD13" s="77">
        <f>'29'!AD16</f>
        <v>0</v>
      </c>
      <c r="AE13" s="77">
        <f>'30'!AD17</f>
        <v>0</v>
      </c>
      <c r="AF13" s="78"/>
      <c r="AG13" s="79">
        <f t="shared" si="0"/>
        <v>0.15972798923490966</v>
      </c>
    </row>
    <row r="14" spans="1:33" ht="21.75" customHeight="1">
      <c r="A14" s="100" t="s">
        <v>71</v>
      </c>
      <c r="B14" s="97">
        <f>'01'!AD17</f>
        <v>1</v>
      </c>
      <c r="C14" s="97">
        <f>'02'!AD17</f>
        <v>1</v>
      </c>
      <c r="D14" s="74">
        <f>'03'!AD17</f>
        <v>0.75</v>
      </c>
      <c r="E14" s="74">
        <f>'04'!AD17</f>
        <v>0</v>
      </c>
      <c r="F14" s="74">
        <f>'05'!AD17</f>
        <v>0</v>
      </c>
      <c r="G14" s="74">
        <f>'06'!AD17</f>
        <v>0</v>
      </c>
      <c r="H14" s="74">
        <f>'07'!AD17</f>
        <v>0</v>
      </c>
      <c r="I14" s="74">
        <f>'08'!AD17</f>
        <v>0</v>
      </c>
      <c r="J14" s="74">
        <f>'09'!AD17</f>
        <v>0</v>
      </c>
      <c r="K14" s="74">
        <f>'10'!AD18</f>
        <v>0</v>
      </c>
      <c r="L14" s="74">
        <f>'11'!AD17</f>
        <v>0</v>
      </c>
      <c r="M14" s="74"/>
      <c r="N14" s="74"/>
      <c r="O14" s="74">
        <f>'14'!AD18</f>
        <v>0</v>
      </c>
      <c r="P14" s="74">
        <f>'15'!AD17</f>
        <v>0</v>
      </c>
      <c r="Q14" s="74">
        <f>'16'!AD17</f>
        <v>0</v>
      </c>
      <c r="R14" s="74">
        <f>'17'!AD17</f>
        <v>0</v>
      </c>
      <c r="S14" s="74">
        <f>'18'!AD17</f>
        <v>0</v>
      </c>
      <c r="T14" s="74"/>
      <c r="U14" s="74"/>
      <c r="V14" s="74">
        <f>'21'!AD17</f>
        <v>0</v>
      </c>
      <c r="W14" s="74">
        <f>'22'!AD17</f>
        <v>0.75</v>
      </c>
      <c r="X14" s="74">
        <f>'23'!AD17</f>
        <v>0.83333333333333337</v>
      </c>
      <c r="Y14" s="74">
        <f>'24'!AD17</f>
        <v>1</v>
      </c>
      <c r="Z14" s="74">
        <f>'25'!AD17</f>
        <v>1</v>
      </c>
      <c r="AA14" s="74">
        <f>'26'!AD17</f>
        <v>0.79166666666666663</v>
      </c>
      <c r="AB14" s="74"/>
      <c r="AC14" s="74">
        <f>'28'!AD17</f>
        <v>0</v>
      </c>
      <c r="AD14" s="74">
        <f>'29'!AD17</f>
        <v>0</v>
      </c>
      <c r="AE14" s="74">
        <f>'30'!AD18</f>
        <v>0.79166666666666663</v>
      </c>
      <c r="AF14" s="75"/>
      <c r="AG14" s="76">
        <f t="shared" si="0"/>
        <v>0.2638888888888889</v>
      </c>
    </row>
    <row r="15" spans="1:33" ht="21.75" customHeight="1">
      <c r="A15" s="101" t="s">
        <v>72</v>
      </c>
      <c r="B15" s="98">
        <f>'01'!AD18</f>
        <v>0</v>
      </c>
      <c r="C15" s="98">
        <f>'02'!AD18</f>
        <v>0</v>
      </c>
      <c r="D15" s="77">
        <f>'03'!AD18</f>
        <v>0</v>
      </c>
      <c r="E15" s="77">
        <f>'04'!AD18</f>
        <v>0.375</v>
      </c>
      <c r="F15" s="77">
        <f>'05'!AD18</f>
        <v>0</v>
      </c>
      <c r="G15" s="77">
        <f>'06'!AD18</f>
        <v>0.25</v>
      </c>
      <c r="H15" s="77">
        <f>'07'!AD18</f>
        <v>0.25</v>
      </c>
      <c r="I15" s="77">
        <f>'08'!AD18</f>
        <v>0</v>
      </c>
      <c r="J15" s="77">
        <f>'09'!AD18</f>
        <v>1</v>
      </c>
      <c r="K15" s="77">
        <f>'10'!AD19</f>
        <v>0.79166666666666663</v>
      </c>
      <c r="L15" s="77">
        <f>'11'!AD18</f>
        <v>0.83333333333333337</v>
      </c>
      <c r="M15" s="77"/>
      <c r="N15" s="77"/>
      <c r="O15" s="77">
        <f>'14'!AD19</f>
        <v>0.83333333333333337</v>
      </c>
      <c r="P15" s="77">
        <f>'15'!AD18</f>
        <v>0.83333333333333337</v>
      </c>
      <c r="Q15" s="77">
        <f>'16'!AD18</f>
        <v>0.83333333333333337</v>
      </c>
      <c r="R15" s="77">
        <f>'17'!AD18</f>
        <v>0.54166666666666663</v>
      </c>
      <c r="S15" s="77">
        <f>'18'!AD18</f>
        <v>0.25</v>
      </c>
      <c r="T15" s="77"/>
      <c r="U15" s="77"/>
      <c r="V15" s="77">
        <f>'21'!AD18</f>
        <v>1</v>
      </c>
      <c r="W15" s="77">
        <f>'22'!AD18</f>
        <v>0.83333333333333337</v>
      </c>
      <c r="X15" s="77">
        <f>'23'!AD18</f>
        <v>0</v>
      </c>
      <c r="Y15" s="77">
        <f>'24'!AD18</f>
        <v>0.41666666666666669</v>
      </c>
      <c r="Z15" s="77">
        <f>'25'!AD18</f>
        <v>0.70833333333333337</v>
      </c>
      <c r="AA15" s="77">
        <f>'26'!AD18</f>
        <v>1</v>
      </c>
      <c r="AB15" s="77"/>
      <c r="AC15" s="77">
        <f>'28'!AD18</f>
        <v>1</v>
      </c>
      <c r="AD15" s="77">
        <f>'29'!AD18</f>
        <v>0.83333333333333337</v>
      </c>
      <c r="AE15" s="77">
        <f>'30'!AD19</f>
        <v>0.25</v>
      </c>
      <c r="AF15" s="78"/>
      <c r="AG15" s="79">
        <f t="shared" si="0"/>
        <v>0.42777777777777781</v>
      </c>
    </row>
    <row r="16" spans="1:33" ht="21.75" customHeight="1">
      <c r="A16" s="101" t="s">
        <v>117</v>
      </c>
      <c r="B16" s="98">
        <f>'01'!AD19</f>
        <v>0.95833333333333337</v>
      </c>
      <c r="C16" s="98">
        <f>'02'!AD19</f>
        <v>1</v>
      </c>
      <c r="D16" s="77">
        <f>'03'!AD19</f>
        <v>0.83333333333333337</v>
      </c>
      <c r="E16" s="77">
        <f>'04'!AD19</f>
        <v>0.79166666666666663</v>
      </c>
      <c r="F16" s="77">
        <f>'05'!AD19</f>
        <v>0.25</v>
      </c>
      <c r="G16" s="77">
        <f>'06'!AD19</f>
        <v>0</v>
      </c>
      <c r="H16" s="77">
        <f>'07'!AD19</f>
        <v>0</v>
      </c>
      <c r="I16" s="77">
        <f>'08'!AD19</f>
        <v>0.875</v>
      </c>
      <c r="J16" s="77">
        <f>'09'!AD19</f>
        <v>1</v>
      </c>
      <c r="K16" s="77">
        <f>'10'!AD20</f>
        <v>0.33333333333333331</v>
      </c>
      <c r="L16" s="77">
        <f>'11'!AD19</f>
        <v>0.54166666666666663</v>
      </c>
      <c r="M16" s="77"/>
      <c r="N16" s="77"/>
      <c r="O16" s="77">
        <f>'14'!AD20</f>
        <v>1</v>
      </c>
      <c r="P16" s="77">
        <f>'15'!AD19</f>
        <v>1</v>
      </c>
      <c r="Q16" s="77">
        <f>'16'!AD19</f>
        <v>0.58333333333333337</v>
      </c>
      <c r="R16" s="77">
        <f>'17'!AD19</f>
        <v>1</v>
      </c>
      <c r="S16" s="77">
        <f>'18'!AD19</f>
        <v>0.29166666666666669</v>
      </c>
      <c r="T16" s="77"/>
      <c r="U16" s="77"/>
      <c r="V16" s="77">
        <f>'21'!AD19</f>
        <v>0.54166666666666663</v>
      </c>
      <c r="W16" s="77">
        <f>'22'!AD19</f>
        <v>0</v>
      </c>
      <c r="X16" s="77">
        <f>'23'!AD19</f>
        <v>0</v>
      </c>
      <c r="Y16" s="77">
        <f>'24'!AD19</f>
        <v>0.83333333333333337</v>
      </c>
      <c r="Z16" s="77">
        <f>'25'!AD19</f>
        <v>1</v>
      </c>
      <c r="AA16" s="77">
        <f>'26'!AD19</f>
        <v>0</v>
      </c>
      <c r="AB16" s="77"/>
      <c r="AC16" s="77">
        <f>'28'!AD19</f>
        <v>0</v>
      </c>
      <c r="AD16" s="77">
        <f>'29'!AD19</f>
        <v>0.875</v>
      </c>
      <c r="AE16" s="77">
        <f>'30'!AD20</f>
        <v>1</v>
      </c>
      <c r="AF16" s="78"/>
      <c r="AG16" s="79">
        <f t="shared" si="0"/>
        <v>0.49027777777777781</v>
      </c>
    </row>
    <row r="17" spans="1:33" ht="21.75" customHeight="1">
      <c r="A17" s="101" t="s">
        <v>118</v>
      </c>
      <c r="B17" s="98">
        <f>'01'!AD20</f>
        <v>0</v>
      </c>
      <c r="C17" s="98">
        <f>'02'!AD20</f>
        <v>0</v>
      </c>
      <c r="D17" s="77">
        <f>'03'!AD20</f>
        <v>0.95833333333333337</v>
      </c>
      <c r="E17" s="77">
        <f>'04'!AD20</f>
        <v>0.875</v>
      </c>
      <c r="F17" s="77">
        <f>'05'!AD20</f>
        <v>0.75</v>
      </c>
      <c r="G17" s="77">
        <f>'06'!AD20</f>
        <v>0.25</v>
      </c>
      <c r="H17" s="77">
        <f>'07'!AD20</f>
        <v>0.70833333333333337</v>
      </c>
      <c r="I17" s="77">
        <f>'08'!AD20</f>
        <v>0.375</v>
      </c>
      <c r="J17" s="77">
        <f>'09'!AD20</f>
        <v>0.83333333333333337</v>
      </c>
      <c r="K17" s="77">
        <f>'10'!AD21</f>
        <v>0.58333333333333337</v>
      </c>
      <c r="L17" s="77">
        <f>'11'!AD20</f>
        <v>0.75</v>
      </c>
      <c r="M17" s="77"/>
      <c r="N17" s="77"/>
      <c r="O17" s="77">
        <f>'14'!AD21</f>
        <v>0.75</v>
      </c>
      <c r="P17" s="77">
        <f>'15'!AD20</f>
        <v>1</v>
      </c>
      <c r="Q17" s="77">
        <f>'16'!AD20</f>
        <v>1</v>
      </c>
      <c r="R17" s="77">
        <f>'17'!AD20</f>
        <v>0.58333333333333337</v>
      </c>
      <c r="S17" s="77">
        <f>'18'!AD20</f>
        <v>0.29166666666666669</v>
      </c>
      <c r="T17" s="77"/>
      <c r="U17" s="77"/>
      <c r="V17" s="77">
        <f>'21'!AD20</f>
        <v>0.875</v>
      </c>
      <c r="W17" s="77">
        <f>'22'!AD20</f>
        <v>0</v>
      </c>
      <c r="X17" s="77">
        <f>'23'!AD20</f>
        <v>1</v>
      </c>
      <c r="Y17" s="77">
        <f>'24'!AD20</f>
        <v>1</v>
      </c>
      <c r="Z17" s="77">
        <f>'25'!AD20</f>
        <v>0.91666666666666663</v>
      </c>
      <c r="AA17" s="77">
        <f>'26'!AD20</f>
        <v>0.20833333333333334</v>
      </c>
      <c r="AB17" s="77"/>
      <c r="AC17" s="77">
        <f>'28'!AD20</f>
        <v>0.75</v>
      </c>
      <c r="AD17" s="77">
        <f>'29'!AD20</f>
        <v>0.75</v>
      </c>
      <c r="AE17" s="77">
        <f>'30'!AD21</f>
        <v>1</v>
      </c>
      <c r="AF17" s="78"/>
      <c r="AG17" s="79">
        <f t="shared" si="0"/>
        <v>0.54027777777777775</v>
      </c>
    </row>
    <row r="18" spans="1:33" ht="21.75" customHeight="1">
      <c r="A18" s="101" t="s">
        <v>119</v>
      </c>
      <c r="B18" s="98">
        <f>'01'!AD21</f>
        <v>1</v>
      </c>
      <c r="C18" s="98">
        <f>'02'!AD21</f>
        <v>1</v>
      </c>
      <c r="D18" s="77">
        <f>'03'!AD21</f>
        <v>0.625</v>
      </c>
      <c r="E18" s="77">
        <f>'04'!AD21</f>
        <v>0.41666666666666669</v>
      </c>
      <c r="F18" s="77">
        <f>'05'!AD21</f>
        <v>0</v>
      </c>
      <c r="G18" s="77">
        <f>'06'!AD21</f>
        <v>0</v>
      </c>
      <c r="H18" s="77">
        <f>'07'!AD21</f>
        <v>0.91666666666666663</v>
      </c>
      <c r="I18" s="77">
        <f>'08'!AD21</f>
        <v>1</v>
      </c>
      <c r="J18" s="77">
        <f>'09'!AD21</f>
        <v>1</v>
      </c>
      <c r="K18" s="77">
        <f>'10'!AD22</f>
        <v>1</v>
      </c>
      <c r="L18" s="77">
        <f>'11'!AD21</f>
        <v>0</v>
      </c>
      <c r="M18" s="77"/>
      <c r="N18" s="77"/>
      <c r="O18" s="77">
        <f>'14'!AD22</f>
        <v>0</v>
      </c>
      <c r="P18" s="77">
        <f>'15'!AD21</f>
        <v>0</v>
      </c>
      <c r="Q18" s="77">
        <f>'16'!AD21</f>
        <v>1</v>
      </c>
      <c r="R18" s="77">
        <f>'17'!AD21</f>
        <v>1</v>
      </c>
      <c r="S18" s="77">
        <f>'18'!AD21</f>
        <v>0.29166666666666669</v>
      </c>
      <c r="T18" s="77"/>
      <c r="U18" s="77"/>
      <c r="V18" s="77">
        <f>'21'!AD21</f>
        <v>1</v>
      </c>
      <c r="W18" s="77">
        <f>'22'!AD21</f>
        <v>1</v>
      </c>
      <c r="X18" s="77">
        <f>'23'!AD21</f>
        <v>1</v>
      </c>
      <c r="Y18" s="77">
        <f>'24'!AD21</f>
        <v>0</v>
      </c>
      <c r="Z18" s="77">
        <f>'25'!AD21</f>
        <v>0</v>
      </c>
      <c r="AA18" s="77">
        <f>'26'!AD21</f>
        <v>0</v>
      </c>
      <c r="AB18" s="77"/>
      <c r="AC18" s="77">
        <f>'28'!AD21</f>
        <v>0.45833333333333331</v>
      </c>
      <c r="AD18" s="77">
        <f>'29'!AD21</f>
        <v>0.58333333333333337</v>
      </c>
      <c r="AE18" s="77">
        <f>'30'!AD22</f>
        <v>0.58333333333333337</v>
      </c>
      <c r="AF18" s="78"/>
      <c r="AG18" s="79">
        <f t="shared" si="0"/>
        <v>0.46250000000000002</v>
      </c>
    </row>
    <row r="19" spans="1:33" ht="21.75" customHeight="1">
      <c r="A19" s="101" t="s">
        <v>142</v>
      </c>
      <c r="B19" s="98">
        <f>'01'!AD22</f>
        <v>0</v>
      </c>
      <c r="C19" s="98">
        <f>'02'!AD22</f>
        <v>0</v>
      </c>
      <c r="D19" s="77">
        <f>'03'!AD22</f>
        <v>0</v>
      </c>
      <c r="E19" s="77">
        <f>'04'!AD22</f>
        <v>0</v>
      </c>
      <c r="F19" s="77">
        <f>'05'!AD22</f>
        <v>0</v>
      </c>
      <c r="G19" s="77">
        <f>'06'!AD22</f>
        <v>0</v>
      </c>
      <c r="H19" s="77">
        <f>'07'!AD22</f>
        <v>0</v>
      </c>
      <c r="I19" s="77">
        <f>'08'!AD22</f>
        <v>0</v>
      </c>
      <c r="J19" s="77">
        <f>'09'!AD22</f>
        <v>0</v>
      </c>
      <c r="K19" s="77">
        <f>'10'!AD23</f>
        <v>0</v>
      </c>
      <c r="L19" s="77">
        <f>'11'!AD22</f>
        <v>0</v>
      </c>
      <c r="M19" s="77"/>
      <c r="N19" s="77"/>
      <c r="O19" s="77">
        <f>'14'!AD23</f>
        <v>0</v>
      </c>
      <c r="P19" s="77">
        <f>'15'!AD22</f>
        <v>0</v>
      </c>
      <c r="Q19" s="77">
        <f>'16'!AD22</f>
        <v>0</v>
      </c>
      <c r="R19" s="77">
        <f>'17'!AD22</f>
        <v>0</v>
      </c>
      <c r="S19" s="77">
        <f>'18'!AD22</f>
        <v>0</v>
      </c>
      <c r="T19" s="77"/>
      <c r="U19" s="77"/>
      <c r="V19" s="77">
        <f>'21'!AD22</f>
        <v>0</v>
      </c>
      <c r="W19" s="77">
        <f>'22'!AD22</f>
        <v>0</v>
      </c>
      <c r="X19" s="77">
        <f>'23'!AD22</f>
        <v>0</v>
      </c>
      <c r="Y19" s="77">
        <f>'24'!AD22</f>
        <v>0</v>
      </c>
      <c r="Z19" s="77">
        <f>'25'!AD22</f>
        <v>0</v>
      </c>
      <c r="AA19" s="77">
        <f>'26'!AD22</f>
        <v>0</v>
      </c>
      <c r="AB19" s="77"/>
      <c r="AC19" s="77">
        <f>'28'!AD22</f>
        <v>0</v>
      </c>
      <c r="AD19" s="77">
        <f>'29'!AD22</f>
        <v>0</v>
      </c>
      <c r="AE19" s="77">
        <f>'30'!AD23</f>
        <v>0</v>
      </c>
      <c r="AF19" s="78"/>
      <c r="AG19" s="79">
        <f t="shared" si="0"/>
        <v>0</v>
      </c>
    </row>
    <row r="20" spans="1:33" ht="21.75" customHeight="1">
      <c r="A20" s="101" t="s">
        <v>143</v>
      </c>
      <c r="B20" s="98">
        <f>'01'!AD23</f>
        <v>0</v>
      </c>
      <c r="C20" s="98">
        <f>'02'!AD23</f>
        <v>0</v>
      </c>
      <c r="D20" s="77">
        <f>'03'!AD23</f>
        <v>0</v>
      </c>
      <c r="E20" s="77">
        <f>'04'!AD23</f>
        <v>0</v>
      </c>
      <c r="F20" s="77">
        <f>'05'!AD23</f>
        <v>0</v>
      </c>
      <c r="G20" s="77">
        <f>'06'!AD23</f>
        <v>0</v>
      </c>
      <c r="H20" s="77">
        <f>'07'!AD23</f>
        <v>0</v>
      </c>
      <c r="I20" s="77">
        <f>'08'!AD23</f>
        <v>0</v>
      </c>
      <c r="J20" s="77">
        <f>'09'!AD23</f>
        <v>0</v>
      </c>
      <c r="K20" s="77">
        <f>'10'!AD24</f>
        <v>0</v>
      </c>
      <c r="L20" s="77">
        <f>'11'!AD23</f>
        <v>0</v>
      </c>
      <c r="M20" s="77"/>
      <c r="N20" s="77"/>
      <c r="O20" s="77">
        <f>'14'!AD24</f>
        <v>0</v>
      </c>
      <c r="P20" s="77">
        <f>'15'!AD23</f>
        <v>0</v>
      </c>
      <c r="Q20" s="77">
        <f>'16'!AD23</f>
        <v>0</v>
      </c>
      <c r="R20" s="77">
        <f>'17'!AD23</f>
        <v>0</v>
      </c>
      <c r="S20" s="77">
        <f>'18'!AD23</f>
        <v>0</v>
      </c>
      <c r="T20" s="77"/>
      <c r="U20" s="77"/>
      <c r="V20" s="77">
        <f>'21'!AD23</f>
        <v>0</v>
      </c>
      <c r="W20" s="77">
        <f>'22'!AD23</f>
        <v>0</v>
      </c>
      <c r="X20" s="77">
        <f>'23'!AD23</f>
        <v>0</v>
      </c>
      <c r="Y20" s="77">
        <f>'24'!AD23</f>
        <v>0</v>
      </c>
      <c r="Z20" s="77">
        <f>'25'!AD23</f>
        <v>0</v>
      </c>
      <c r="AA20" s="77">
        <f>'26'!AD23</f>
        <v>0</v>
      </c>
      <c r="AB20" s="77"/>
      <c r="AC20" s="77">
        <f>'28'!AD23</f>
        <v>0</v>
      </c>
      <c r="AD20" s="77">
        <f>'29'!AD23</f>
        <v>0</v>
      </c>
      <c r="AE20" s="77">
        <f>'30'!AD24</f>
        <v>0</v>
      </c>
      <c r="AF20" s="78"/>
      <c r="AG20" s="79">
        <f t="shared" si="0"/>
        <v>0</v>
      </c>
    </row>
    <row r="21" spans="1:33" ht="21.75" customHeight="1">
      <c r="A21" s="101" t="s">
        <v>144</v>
      </c>
      <c r="B21" s="98">
        <f>'01'!AD24</f>
        <v>0</v>
      </c>
      <c r="C21" s="98">
        <f>'02'!AD24</f>
        <v>0</v>
      </c>
      <c r="D21" s="77">
        <f>'03'!AD24</f>
        <v>0</v>
      </c>
      <c r="E21" s="77">
        <f>'04'!AD24</f>
        <v>0</v>
      </c>
      <c r="F21" s="77">
        <f>'05'!AD24</f>
        <v>0</v>
      </c>
      <c r="G21" s="77">
        <f>'06'!AD24</f>
        <v>0</v>
      </c>
      <c r="H21" s="77">
        <f>'07'!AD24</f>
        <v>0</v>
      </c>
      <c r="I21" s="77">
        <f>'08'!AD24</f>
        <v>0</v>
      </c>
      <c r="J21" s="77">
        <f>'09'!AD24</f>
        <v>0</v>
      </c>
      <c r="K21" s="77">
        <f>'10'!AD25</f>
        <v>0</v>
      </c>
      <c r="L21" s="77">
        <f>'11'!AD24</f>
        <v>0</v>
      </c>
      <c r="M21" s="77"/>
      <c r="N21" s="77"/>
      <c r="O21" s="77">
        <f>'14'!AD25</f>
        <v>0</v>
      </c>
      <c r="P21" s="77">
        <f>'15'!AD24</f>
        <v>0</v>
      </c>
      <c r="Q21" s="77">
        <f>'16'!AD24</f>
        <v>0</v>
      </c>
      <c r="R21" s="77">
        <f>'17'!AD24</f>
        <v>0</v>
      </c>
      <c r="S21" s="77">
        <f>'18'!AD24</f>
        <v>0</v>
      </c>
      <c r="T21" s="77"/>
      <c r="U21" s="77"/>
      <c r="V21" s="77">
        <f>'21'!AD24</f>
        <v>0</v>
      </c>
      <c r="W21" s="77">
        <f>'22'!AD24</f>
        <v>0</v>
      </c>
      <c r="X21" s="77">
        <f>'23'!AD24</f>
        <v>0</v>
      </c>
      <c r="Y21" s="77">
        <f>'24'!AD24</f>
        <v>0</v>
      </c>
      <c r="Z21" s="77">
        <f>'25'!AD24</f>
        <v>0</v>
      </c>
      <c r="AA21" s="77">
        <f>'26'!AD24</f>
        <v>0</v>
      </c>
      <c r="AB21" s="77"/>
      <c r="AC21" s="77">
        <f>'28'!AD24</f>
        <v>0</v>
      </c>
      <c r="AD21" s="77">
        <f>'29'!AD24</f>
        <v>0</v>
      </c>
      <c r="AE21" s="77">
        <f>'30'!AD25</f>
        <v>0</v>
      </c>
      <c r="AF21" s="78"/>
      <c r="AG21" s="79">
        <f t="shared" si="0"/>
        <v>0</v>
      </c>
    </row>
    <row r="22" spans="1:33" ht="21.75" customHeight="1">
      <c r="A22" s="101" t="s">
        <v>145</v>
      </c>
      <c r="B22" s="98">
        <f>'01'!AD25</f>
        <v>0</v>
      </c>
      <c r="C22" s="98">
        <f>'02'!AD25</f>
        <v>0</v>
      </c>
      <c r="D22" s="77">
        <f>'03'!AD25</f>
        <v>0</v>
      </c>
      <c r="E22" s="77">
        <f>'04'!AD25</f>
        <v>0</v>
      </c>
      <c r="F22" s="77">
        <f>'05'!AD25</f>
        <v>0</v>
      </c>
      <c r="G22" s="77">
        <f>'06'!AD25</f>
        <v>0</v>
      </c>
      <c r="H22" s="77">
        <f>'07'!AD25</f>
        <v>0</v>
      </c>
      <c r="I22" s="77">
        <f>'08'!AD25</f>
        <v>0</v>
      </c>
      <c r="J22" s="77">
        <f>'09'!AD25</f>
        <v>0</v>
      </c>
      <c r="K22" s="77">
        <f>'10'!AD26</f>
        <v>0</v>
      </c>
      <c r="L22" s="77">
        <f>'11'!AD25</f>
        <v>0</v>
      </c>
      <c r="M22" s="77"/>
      <c r="N22" s="77"/>
      <c r="O22" s="77">
        <f>'14'!AD26</f>
        <v>0</v>
      </c>
      <c r="P22" s="77">
        <f>'15'!AD25</f>
        <v>0</v>
      </c>
      <c r="Q22" s="77">
        <f>'16'!AD25</f>
        <v>0</v>
      </c>
      <c r="R22" s="77">
        <f>'17'!AD25</f>
        <v>0</v>
      </c>
      <c r="S22" s="77">
        <f>'18'!AD25</f>
        <v>0</v>
      </c>
      <c r="T22" s="77"/>
      <c r="U22" s="77"/>
      <c r="V22" s="77">
        <f>'21'!AD25</f>
        <v>0</v>
      </c>
      <c r="W22" s="77">
        <f>'22'!AD25</f>
        <v>0</v>
      </c>
      <c r="X22" s="77">
        <f>'23'!AD25</f>
        <v>0</v>
      </c>
      <c r="Y22" s="77">
        <f>'24'!AD25</f>
        <v>0</v>
      </c>
      <c r="Z22" s="77">
        <f>'25'!AD25</f>
        <v>0</v>
      </c>
      <c r="AA22" s="77">
        <f>'26'!AD25</f>
        <v>0</v>
      </c>
      <c r="AB22" s="77"/>
      <c r="AC22" s="77">
        <f>'28'!AD25</f>
        <v>0</v>
      </c>
      <c r="AD22" s="77">
        <f>'29'!AD25</f>
        <v>0</v>
      </c>
      <c r="AE22" s="77">
        <f>'30'!AD26</f>
        <v>0</v>
      </c>
      <c r="AF22" s="78"/>
      <c r="AG22" s="79">
        <f t="shared" si="0"/>
        <v>0</v>
      </c>
    </row>
    <row r="23" spans="1:33" ht="21.75" customHeight="1">
      <c r="A23" s="101" t="s">
        <v>146</v>
      </c>
      <c r="B23" s="98">
        <f>'01'!AD26</f>
        <v>0</v>
      </c>
      <c r="C23" s="98">
        <f>'02'!AD26</f>
        <v>0</v>
      </c>
      <c r="D23" s="77">
        <f>'03'!AD26</f>
        <v>0</v>
      </c>
      <c r="E23" s="77">
        <f>'04'!AD26</f>
        <v>0</v>
      </c>
      <c r="F23" s="77">
        <f>'05'!AD26</f>
        <v>0</v>
      </c>
      <c r="G23" s="77">
        <f>'06'!AD26</f>
        <v>0</v>
      </c>
      <c r="H23" s="77">
        <f>'07'!AD26</f>
        <v>0</v>
      </c>
      <c r="I23" s="77">
        <f>'08'!AD26</f>
        <v>0</v>
      </c>
      <c r="J23" s="77">
        <f>'09'!AD26</f>
        <v>0</v>
      </c>
      <c r="K23" s="77">
        <f>'10'!AD27</f>
        <v>0</v>
      </c>
      <c r="L23" s="77">
        <f>'11'!AD26</f>
        <v>0</v>
      </c>
      <c r="M23" s="77"/>
      <c r="N23" s="77"/>
      <c r="O23" s="77">
        <f>'14'!AD27</f>
        <v>0</v>
      </c>
      <c r="P23" s="77">
        <f>'15'!AD26</f>
        <v>0</v>
      </c>
      <c r="Q23" s="77">
        <f>'16'!AD26</f>
        <v>0</v>
      </c>
      <c r="R23" s="77">
        <f>'17'!AD26</f>
        <v>0</v>
      </c>
      <c r="S23" s="77">
        <f>'18'!AD26</f>
        <v>0</v>
      </c>
      <c r="T23" s="77"/>
      <c r="U23" s="77"/>
      <c r="V23" s="77">
        <f>'21'!AD26</f>
        <v>0</v>
      </c>
      <c r="W23" s="77">
        <f>'22'!AD26</f>
        <v>0</v>
      </c>
      <c r="X23" s="77">
        <f>'23'!AD26</f>
        <v>0</v>
      </c>
      <c r="Y23" s="77">
        <f>'24'!AD26</f>
        <v>0</v>
      </c>
      <c r="Z23" s="77">
        <f>'25'!AD26</f>
        <v>0</v>
      </c>
      <c r="AA23" s="77">
        <f>'26'!AD26</f>
        <v>0</v>
      </c>
      <c r="AB23" s="77"/>
      <c r="AC23" s="77">
        <f>'28'!AD26</f>
        <v>0</v>
      </c>
      <c r="AD23" s="77">
        <f>'29'!AD26</f>
        <v>0</v>
      </c>
      <c r="AE23" s="77">
        <f>'30'!AD27</f>
        <v>0</v>
      </c>
      <c r="AF23" s="78"/>
      <c r="AG23" s="79">
        <f t="shared" si="0"/>
        <v>0</v>
      </c>
    </row>
    <row r="24" spans="1:33" ht="21.75" customHeight="1" thickBot="1">
      <c r="A24" s="102" t="s">
        <v>147</v>
      </c>
      <c r="B24" s="99">
        <f>'01'!AD27</f>
        <v>0</v>
      </c>
      <c r="C24" s="99">
        <f>'02'!AD27</f>
        <v>0</v>
      </c>
      <c r="D24" s="80">
        <f>'03'!AD27</f>
        <v>0</v>
      </c>
      <c r="E24" s="80">
        <f>'04'!AD27</f>
        <v>0</v>
      </c>
      <c r="F24" s="80">
        <f>'05'!AD27</f>
        <v>0</v>
      </c>
      <c r="G24" s="80">
        <f>'06'!AD27</f>
        <v>0</v>
      </c>
      <c r="H24" s="80">
        <f>'07'!AD27</f>
        <v>0</v>
      </c>
      <c r="I24" s="80">
        <f>'08'!AD27</f>
        <v>0</v>
      </c>
      <c r="J24" s="80">
        <f>'09'!AD27</f>
        <v>0.83333333333333337</v>
      </c>
      <c r="K24" s="80">
        <f>'10'!AD28</f>
        <v>0.83333333333333337</v>
      </c>
      <c r="L24" s="80">
        <f>'11'!AD27</f>
        <v>1</v>
      </c>
      <c r="M24" s="80"/>
      <c r="N24" s="80"/>
      <c r="O24" s="80">
        <f>'14'!AD28</f>
        <v>1</v>
      </c>
      <c r="P24" s="80">
        <f>'15'!AD27</f>
        <v>1</v>
      </c>
      <c r="Q24" s="80">
        <f>'16'!AD27</f>
        <v>1</v>
      </c>
      <c r="R24" s="80">
        <f>'17'!AD27</f>
        <v>1</v>
      </c>
      <c r="S24" s="80">
        <f>'18'!AD27</f>
        <v>0.29166666666666669</v>
      </c>
      <c r="T24" s="80"/>
      <c r="U24" s="80"/>
      <c r="V24" s="80">
        <f>'21'!AD27</f>
        <v>0.83333333333333337</v>
      </c>
      <c r="W24" s="80">
        <f>'22'!AD27</f>
        <v>0</v>
      </c>
      <c r="X24" s="80">
        <f>'23'!AD27</f>
        <v>0</v>
      </c>
      <c r="Y24" s="80">
        <f>'24'!AD27</f>
        <v>0</v>
      </c>
      <c r="Z24" s="80">
        <f>'25'!AD27</f>
        <v>0</v>
      </c>
      <c r="AA24" s="80">
        <f>'26'!AD27</f>
        <v>0</v>
      </c>
      <c r="AB24" s="80"/>
      <c r="AC24" s="80">
        <f>'28'!AD27</f>
        <v>0</v>
      </c>
      <c r="AD24" s="80">
        <f>'29'!AD27</f>
        <v>0</v>
      </c>
      <c r="AE24" s="80">
        <f>'30'!AD28</f>
        <v>0</v>
      </c>
      <c r="AF24" s="81"/>
      <c r="AG24" s="82">
        <f t="shared" si="0"/>
        <v>0.25972222222222224</v>
      </c>
    </row>
    <row r="25" spans="1:33" s="83" customFormat="1" ht="21.75" customHeight="1">
      <c r="A25" s="87" t="s">
        <v>104</v>
      </c>
      <c r="B25" s="91">
        <f>'01'!AD28</f>
        <v>0.39393939393939392</v>
      </c>
      <c r="C25" s="91">
        <f>'02'!AD28</f>
        <v>0.39393939393939398</v>
      </c>
      <c r="D25" s="92">
        <f>'03'!AD28</f>
        <v>0.46590909090909088</v>
      </c>
      <c r="E25" s="92">
        <f>'04'!AD28</f>
        <v>0.4375</v>
      </c>
      <c r="F25" s="92">
        <f>'05'!AD28</f>
        <v>0.32575757575757575</v>
      </c>
      <c r="G25" s="92">
        <f>'06'!AD28</f>
        <v>0.15340909090909091</v>
      </c>
      <c r="H25" s="92">
        <f>'07'!AD28</f>
        <v>0.3503787878787879</v>
      </c>
      <c r="I25" s="92">
        <f>'08'!AD28</f>
        <v>0.4375</v>
      </c>
      <c r="J25" s="92">
        <f>'09'!AD28</f>
        <v>0.57386363636363646</v>
      </c>
      <c r="K25" s="92">
        <f>'10'!AD29</f>
        <v>0.43115942028985504</v>
      </c>
      <c r="L25" s="92">
        <f>'11'!AD28</f>
        <v>0.48295454545454547</v>
      </c>
      <c r="M25" s="92"/>
      <c r="N25" s="92"/>
      <c r="O25" s="92">
        <f>'14'!AD29</f>
        <v>0.40217391304347827</v>
      </c>
      <c r="P25" s="92">
        <f>'15'!AD28</f>
        <v>0.39204545454545453</v>
      </c>
      <c r="Q25" s="92">
        <f>'16'!AD28</f>
        <v>0.41287878787878785</v>
      </c>
      <c r="R25" s="92">
        <f>'17'!AD28</f>
        <v>0.40340909090909088</v>
      </c>
      <c r="S25" s="92">
        <f>'18'!AD28</f>
        <v>0.13257575757575754</v>
      </c>
      <c r="T25" s="92"/>
      <c r="U25" s="92"/>
      <c r="V25" s="92">
        <f>'21'!AD28</f>
        <v>0.34469696969696967</v>
      </c>
      <c r="W25" s="92">
        <f>'22'!AD28</f>
        <v>0.28787878787878785</v>
      </c>
      <c r="X25" s="92">
        <f>'23'!AD28</f>
        <v>0.28598484848484851</v>
      </c>
      <c r="Y25" s="92">
        <f>'24'!AD28</f>
        <v>0.34090909090909088</v>
      </c>
      <c r="Z25" s="92">
        <f>'25'!AD28</f>
        <v>0.34469696969696972</v>
      </c>
      <c r="AA25" s="92">
        <f>'26'!AD28</f>
        <v>0.27652301562336162</v>
      </c>
      <c r="AB25" s="92"/>
      <c r="AC25" s="92">
        <f>'28'!AD28</f>
        <v>0.26325757575757575</v>
      </c>
      <c r="AD25" s="92">
        <f>'29'!AD28</f>
        <v>0.32007575757575757</v>
      </c>
      <c r="AE25" s="92">
        <f>'30'!AD29</f>
        <v>0.30072463768115942</v>
      </c>
      <c r="AF25" s="93"/>
      <c r="AG25" s="94">
        <f t="shared" ref="AG25" si="1">SUM(B25:AF25)/30</f>
        <v>0.29847138642328208</v>
      </c>
    </row>
    <row r="26" spans="1:33" ht="21.75" customHeight="1" thickBot="1">
      <c r="A26" s="69" t="s">
        <v>108</v>
      </c>
      <c r="B26" s="70">
        <v>0.62</v>
      </c>
      <c r="C26" s="71">
        <v>0.62</v>
      </c>
      <c r="D26" s="71">
        <v>0.62</v>
      </c>
      <c r="E26" s="71">
        <v>0.62</v>
      </c>
      <c r="F26" s="71">
        <v>0.62</v>
      </c>
      <c r="G26" s="71">
        <v>0.62</v>
      </c>
      <c r="H26" s="71">
        <v>0.62</v>
      </c>
      <c r="I26" s="71">
        <v>0.62</v>
      </c>
      <c r="J26" s="71">
        <v>0.62</v>
      </c>
      <c r="K26" s="71">
        <v>0.62</v>
      </c>
      <c r="L26" s="71">
        <v>0.62</v>
      </c>
      <c r="M26" s="71">
        <v>0.62</v>
      </c>
      <c r="N26" s="71">
        <v>0.62</v>
      </c>
      <c r="O26" s="71">
        <v>0.62</v>
      </c>
      <c r="P26" s="71">
        <v>0.62</v>
      </c>
      <c r="Q26" s="71">
        <v>0.62</v>
      </c>
      <c r="R26" s="71">
        <v>0.62</v>
      </c>
      <c r="S26" s="71">
        <v>0.62</v>
      </c>
      <c r="T26" s="71">
        <v>0.62</v>
      </c>
      <c r="U26" s="71">
        <v>0.62</v>
      </c>
      <c r="V26" s="71">
        <v>0.62</v>
      </c>
      <c r="W26" s="71">
        <v>0.62</v>
      </c>
      <c r="X26" s="71">
        <v>0.62</v>
      </c>
      <c r="Y26" s="71">
        <v>0.62</v>
      </c>
      <c r="Z26" s="71">
        <v>0.62</v>
      </c>
      <c r="AA26" s="71">
        <v>0.62</v>
      </c>
      <c r="AB26" s="71">
        <v>0.62</v>
      </c>
      <c r="AC26" s="71">
        <v>0.62</v>
      </c>
      <c r="AD26" s="71">
        <v>0.62</v>
      </c>
      <c r="AE26" s="71">
        <v>0.62</v>
      </c>
      <c r="AF26" s="72">
        <v>0.62</v>
      </c>
      <c r="AG26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26</vt:i4>
      </vt:variant>
      <vt:variant>
        <vt:lpstr>이름 지정된 범위</vt:lpstr>
      </vt:variant>
      <vt:variant>
        <vt:i4>50</vt:i4>
      </vt:variant>
    </vt:vector>
  </HeadingPairs>
  <TitlesOfParts>
    <vt:vector size="76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14</vt:lpstr>
      <vt:lpstr>15</vt:lpstr>
      <vt:lpstr>16</vt:lpstr>
      <vt:lpstr>17</vt:lpstr>
      <vt:lpstr>18</vt:lpstr>
      <vt:lpstr>21</vt:lpstr>
      <vt:lpstr>22</vt:lpstr>
      <vt:lpstr>23</vt:lpstr>
      <vt:lpstr>24</vt:lpstr>
      <vt:lpstr>25</vt:lpstr>
      <vt:lpstr>26</vt:lpstr>
      <vt:lpstr>28</vt:lpstr>
      <vt:lpstr>29</vt:lpstr>
      <vt:lpstr>30</vt:lpstr>
      <vt:lpstr>총괄</vt:lpstr>
      <vt:lpstr>'01'!Print_Area</vt:lpstr>
      <vt:lpstr>'02'!Print_Area</vt:lpstr>
      <vt:lpstr>'03'!Print_Area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'14'!Print_Area</vt:lpstr>
      <vt:lpstr>'15'!Print_Area</vt:lpstr>
      <vt:lpstr>'16'!Print_Area</vt:lpstr>
      <vt:lpstr>'17'!Print_Area</vt:lpstr>
      <vt:lpstr>'18'!Print_Area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'28'!Print_Area</vt:lpstr>
      <vt:lpstr>'29'!Print_Area</vt:lpstr>
      <vt:lpstr>'30'!Print_Area</vt:lpstr>
      <vt:lpstr>'01'!ㅁ1</vt:lpstr>
      <vt:lpstr>'02'!ㅁ1</vt:lpstr>
      <vt:lpstr>'03'!ㅁ1</vt:lpstr>
      <vt:lpstr>'04'!ㅁ1</vt:lpstr>
      <vt:lpstr>'05'!ㅁ1</vt:lpstr>
      <vt:lpstr>'06'!ㅁ1</vt:lpstr>
      <vt:lpstr>'07'!ㅁ1</vt:lpstr>
      <vt:lpstr>'08'!ㅁ1</vt:lpstr>
      <vt:lpstr>'09'!ㅁ1</vt:lpstr>
      <vt:lpstr>'10'!ㅁ1</vt:lpstr>
      <vt:lpstr>'11'!ㅁ1</vt:lpstr>
      <vt:lpstr>'14'!ㅁ1</vt:lpstr>
      <vt:lpstr>'15'!ㅁ1</vt:lpstr>
      <vt:lpstr>'16'!ㅁ1</vt:lpstr>
      <vt:lpstr>'17'!ㅁ1</vt:lpstr>
      <vt:lpstr>'18'!ㅁ1</vt:lpstr>
      <vt:lpstr>'21'!ㅁ1</vt:lpstr>
      <vt:lpstr>'22'!ㅁ1</vt:lpstr>
      <vt:lpstr>'23'!ㅁ1</vt:lpstr>
      <vt:lpstr>'24'!ㅁ1</vt:lpstr>
      <vt:lpstr>'25'!ㅁ1</vt:lpstr>
      <vt:lpstr>'26'!ㅁ1</vt:lpstr>
      <vt:lpstr>'28'!ㅁ1</vt:lpstr>
      <vt:lpstr>'29'!ㅁ1</vt:lpstr>
      <vt:lpstr>'30'!ㅁ1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2021-05-10T23:53:31Z</cp:lastPrinted>
  <dcterms:created xsi:type="dcterms:W3CDTF">2014-05-16T00:06:55Z</dcterms:created>
  <dcterms:modified xsi:type="dcterms:W3CDTF">2021-07-01T10:10:27Z</dcterms:modified>
</cp:coreProperties>
</file>