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E370132C-1DBB-4A19-AAA1-DA001F5D8DB6}" xr6:coauthVersionLast="47" xr6:coauthVersionMax="47" xr10:uidLastSave="{00000000-0000-0000-0000-000000000000}"/>
  <bookViews>
    <workbookView xWindow="-120" yWindow="-120" windowWidth="29040" windowHeight="15840" activeTab="21" xr2:uid="{00000000-000D-0000-FFFF-FFFF00000000}"/>
  </bookViews>
  <sheets>
    <sheet name="01" sheetId="2051" r:id="rId1"/>
    <sheet name="02" sheetId="2052" r:id="rId2"/>
    <sheet name="05" sheetId="2053" r:id="rId3"/>
    <sheet name="06" sheetId="2054" r:id="rId4"/>
    <sheet name="07" sheetId="2055" r:id="rId5"/>
    <sheet name="08" sheetId="2056" r:id="rId6"/>
    <sheet name="09" sheetId="2057" r:id="rId7"/>
    <sheet name="12" sheetId="2058" r:id="rId8"/>
    <sheet name="13" sheetId="2059" r:id="rId9"/>
    <sheet name="14" sheetId="2060" r:id="rId10"/>
    <sheet name="15" sheetId="2061" r:id="rId11"/>
    <sheet name="16" sheetId="2062" r:id="rId12"/>
    <sheet name="19" sheetId="2063" r:id="rId13"/>
    <sheet name="20" sheetId="2064" r:id="rId14"/>
    <sheet name="21" sheetId="2065" r:id="rId15"/>
    <sheet name="22" sheetId="2066" r:id="rId16"/>
    <sheet name="23" sheetId="2067" r:id="rId17"/>
    <sheet name="26" sheetId="2068" r:id="rId18"/>
    <sheet name="27" sheetId="2069" r:id="rId19"/>
    <sheet name="28" sheetId="2070" r:id="rId20"/>
    <sheet name="29" sheetId="2071" r:id="rId21"/>
    <sheet name="30" sheetId="2072" r:id="rId22"/>
    <sheet name="총괄" sheetId="16" r:id="rId23"/>
  </sheets>
  <definedNames>
    <definedName name="_xlnm.Print_Area" localSheetId="0">'01'!$A$1:$AD$94</definedName>
    <definedName name="_xlnm.Print_Area" localSheetId="1">'02'!$A$1:$AD$94</definedName>
    <definedName name="_xlnm.Print_Area" localSheetId="2">'05'!$A$1:$AD$93</definedName>
    <definedName name="_xlnm.Print_Area" localSheetId="3">'06'!$A$1:$AD$94</definedName>
    <definedName name="_xlnm.Print_Area" localSheetId="4">'07'!$A$1:$AD$93</definedName>
    <definedName name="_xlnm.Print_Area" localSheetId="5">'08'!$A$1:$AD$93</definedName>
    <definedName name="_xlnm.Print_Area" localSheetId="6">'09'!$A$1:$AD$94</definedName>
    <definedName name="_xlnm.Print_Area" localSheetId="7">'12'!$A$1:$AD$93</definedName>
    <definedName name="_xlnm.Print_Area" localSheetId="8">'13'!$A$1:$AD$93</definedName>
    <definedName name="_xlnm.Print_Area" localSheetId="9">'14'!$A$1:$AD$93</definedName>
    <definedName name="_xlnm.Print_Area" localSheetId="10">'15'!$A$1:$AD$94</definedName>
    <definedName name="_xlnm.Print_Area" localSheetId="11">'16'!$A$1:$AD$93</definedName>
    <definedName name="_xlnm.Print_Area" localSheetId="12">'19'!$A$1:$AD$94</definedName>
    <definedName name="_xlnm.Print_Area" localSheetId="13">'20'!$A$1:$AD$93</definedName>
    <definedName name="_xlnm.Print_Area" localSheetId="14">'21'!$A$1:$AD$93</definedName>
    <definedName name="_xlnm.Print_Area" localSheetId="15">'22'!$A$1:$AD$94</definedName>
    <definedName name="_xlnm.Print_Area" localSheetId="16">'23'!$A$1:$AD$94</definedName>
    <definedName name="_xlnm.Print_Area" localSheetId="17">'26'!$A$1:$AD$93</definedName>
    <definedName name="_xlnm.Print_Area" localSheetId="18">'27'!$A$1:$AD$94</definedName>
    <definedName name="_xlnm.Print_Area" localSheetId="19">'28'!$A$1:$AD$94</definedName>
    <definedName name="_xlnm.Print_Area" localSheetId="20">'29'!$A$1:$AD$94</definedName>
    <definedName name="_xlnm.Print_Area" localSheetId="21">'30'!$A$1:$AD$93</definedName>
    <definedName name="ㅁ1" localSheetId="0">'01'!$M$1048529:$M$1048576</definedName>
    <definedName name="ㅁ1" localSheetId="1">'02'!$M$1048529:$M$1048576</definedName>
    <definedName name="ㅁ1" localSheetId="2">'05'!$M$1048528:$M$1048576</definedName>
    <definedName name="ㅁ1" localSheetId="3">'06'!$M$1048529:$M$1048576</definedName>
    <definedName name="ㅁ1" localSheetId="4">'07'!$M$1048528:$M$1048576</definedName>
    <definedName name="ㅁ1" localSheetId="5">'08'!$M$1048528:$M$1048576</definedName>
    <definedName name="ㅁ1" localSheetId="6">'09'!$M$1048529:$M$1048576</definedName>
    <definedName name="ㅁ1" localSheetId="7">'12'!$M$1048528:$M$1048576</definedName>
    <definedName name="ㅁ1" localSheetId="8">'13'!$M$1048528:$M$1048576</definedName>
    <definedName name="ㅁ1" localSheetId="9">'14'!$M$1048528:$M$1048576</definedName>
    <definedName name="ㅁ1" localSheetId="10">'15'!$M$1048529:$M$1048576</definedName>
    <definedName name="ㅁ1" localSheetId="11">'16'!$M$1048528:$M$1048576</definedName>
    <definedName name="ㅁ1" localSheetId="12">'19'!$M$1048529:$M$1048576</definedName>
    <definedName name="ㅁ1" localSheetId="13">'20'!$M$1048528:$M$1048576</definedName>
    <definedName name="ㅁ1" localSheetId="14">'21'!$M$1048528:$M$1048576</definedName>
    <definedName name="ㅁ1" localSheetId="15">'22'!$M$1048529:$M$1048576</definedName>
    <definedName name="ㅁ1" localSheetId="16">'23'!$M$1048529:$M$1048576</definedName>
    <definedName name="ㅁ1" localSheetId="17">'26'!$M$1048528:$M$1048576</definedName>
    <definedName name="ㅁ1" localSheetId="18">'27'!$M$1048529:$M$1048576</definedName>
    <definedName name="ㅁ1" localSheetId="19">'28'!$M$1048529:$M$1048576</definedName>
    <definedName name="ㅁ1" localSheetId="20">'29'!$M$1048529:$M$1048576</definedName>
    <definedName name="ㅁ1" localSheetId="21">'30'!$M$1048528:$M$1048576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E25" i="16" l="1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2072"/>
  <c r="L19" i="2072"/>
  <c r="L18" i="2072"/>
  <c r="L13" i="2072"/>
  <c r="L12" i="2072"/>
  <c r="L9" i="2072"/>
  <c r="L8" i="2072"/>
  <c r="L7" i="2072"/>
  <c r="K7" i="2072"/>
  <c r="L6" i="2072" l="1"/>
  <c r="O6" i="2072" s="1"/>
  <c r="L22" i="2071"/>
  <c r="K21" i="2072"/>
  <c r="O21" i="2072"/>
  <c r="K20" i="2072"/>
  <c r="K19" i="2072"/>
  <c r="K18" i="2072"/>
  <c r="K16" i="2072"/>
  <c r="K13" i="2072"/>
  <c r="K12" i="2072"/>
  <c r="K9" i="2072"/>
  <c r="K8" i="2072"/>
  <c r="K6" i="2072"/>
  <c r="A83" i="2072"/>
  <c r="A84" i="2072" s="1"/>
  <c r="A85" i="2072" s="1"/>
  <c r="A86" i="2072" s="1"/>
  <c r="A87" i="2072" s="1"/>
  <c r="A88" i="2072" s="1"/>
  <c r="AF67" i="2072"/>
  <c r="AF69" i="2072" s="1"/>
  <c r="AF66" i="2072"/>
  <c r="AA28" i="2072"/>
  <c r="Z28" i="2072"/>
  <c r="Y28" i="2072"/>
  <c r="X28" i="2072"/>
  <c r="W28" i="2072"/>
  <c r="V28" i="2072"/>
  <c r="U28" i="2072"/>
  <c r="T28" i="2072"/>
  <c r="S28" i="2072"/>
  <c r="R28" i="2072"/>
  <c r="N28" i="2072"/>
  <c r="J28" i="2072"/>
  <c r="I28" i="2072"/>
  <c r="AF27" i="2072"/>
  <c r="AC27" i="2072"/>
  <c r="AB27" i="2072"/>
  <c r="Q27" i="2072"/>
  <c r="P27" i="2072"/>
  <c r="O27" i="2072"/>
  <c r="M27" i="2072"/>
  <c r="K27" i="2072"/>
  <c r="AF26" i="2072"/>
  <c r="AB26" i="2072"/>
  <c r="Q26" i="2072"/>
  <c r="P26" i="2072"/>
  <c r="AC26" i="2072" s="1"/>
  <c r="O26" i="2072"/>
  <c r="M26" i="2072"/>
  <c r="K26" i="2072"/>
  <c r="AF25" i="2072"/>
  <c r="AB25" i="2072"/>
  <c r="Q25" i="2072"/>
  <c r="P25" i="2072"/>
  <c r="AC25" i="2072" s="1"/>
  <c r="AD25" i="2072" s="1"/>
  <c r="O25" i="2072"/>
  <c r="M25" i="2072"/>
  <c r="K25" i="2072"/>
  <c r="AF24" i="2072"/>
  <c r="AB24" i="2072"/>
  <c r="Q24" i="2072"/>
  <c r="P24" i="2072"/>
  <c r="AC24" i="2072" s="1"/>
  <c r="O24" i="2072"/>
  <c r="M24" i="2072"/>
  <c r="K24" i="2072"/>
  <c r="AF23" i="2072"/>
  <c r="AC23" i="2072"/>
  <c r="AB23" i="2072"/>
  <c r="Q23" i="2072"/>
  <c r="P23" i="2072"/>
  <c r="O23" i="2072"/>
  <c r="M23" i="2072"/>
  <c r="K23" i="2072"/>
  <c r="AF22" i="2072"/>
  <c r="AB22" i="2072"/>
  <c r="Q22" i="2072"/>
  <c r="P22" i="2072"/>
  <c r="AC22" i="2072" s="1"/>
  <c r="AD22" i="2072" s="1"/>
  <c r="O22" i="2072"/>
  <c r="M22" i="2072"/>
  <c r="K22" i="2072"/>
  <c r="AF21" i="2072"/>
  <c r="AB21" i="2072"/>
  <c r="Q21" i="2072"/>
  <c r="P21" i="2072"/>
  <c r="AC21" i="2072" s="1"/>
  <c r="M21" i="2072"/>
  <c r="AF20" i="2072"/>
  <c r="Q20" i="2072"/>
  <c r="O20" i="2072"/>
  <c r="AF19" i="2072"/>
  <c r="Q19" i="2072"/>
  <c r="P19" i="2072" s="1"/>
  <c r="AC19" i="2072" s="1"/>
  <c r="AB19" i="2072"/>
  <c r="AF18" i="2072"/>
  <c r="Q18" i="2072"/>
  <c r="P18" i="2072" s="1"/>
  <c r="AC18" i="2072" s="1"/>
  <c r="O18" i="2072"/>
  <c r="AB18" i="2072"/>
  <c r="AF17" i="2072"/>
  <c r="AC17" i="2072"/>
  <c r="AB17" i="2072"/>
  <c r="Q17" i="2072"/>
  <c r="P17" i="2072"/>
  <c r="O17" i="2072"/>
  <c r="M17" i="2072"/>
  <c r="K17" i="2072"/>
  <c r="AF16" i="2072"/>
  <c r="Q16" i="2072"/>
  <c r="P16" i="2072"/>
  <c r="AC16" i="2072" s="1"/>
  <c r="AB16" i="2072"/>
  <c r="AF15" i="2072"/>
  <c r="AC15" i="2072"/>
  <c r="AB15" i="2072"/>
  <c r="Q15" i="2072"/>
  <c r="P15" i="2072"/>
  <c r="O15" i="2072"/>
  <c r="M15" i="2072"/>
  <c r="K15" i="2072"/>
  <c r="AF14" i="2072"/>
  <c r="AB14" i="2072"/>
  <c r="Q14" i="2072"/>
  <c r="P14" i="2072"/>
  <c r="AC14" i="2072" s="1"/>
  <c r="O14" i="2072"/>
  <c r="M14" i="2072"/>
  <c r="K14" i="2072"/>
  <c r="AF13" i="2072"/>
  <c r="Q13" i="2072"/>
  <c r="P13" i="2072"/>
  <c r="AC13" i="2072" s="1"/>
  <c r="O13" i="2072"/>
  <c r="AB13" i="2072"/>
  <c r="AF12" i="2072"/>
  <c r="AB12" i="2072"/>
  <c r="Q12" i="2072"/>
  <c r="O12" i="2072"/>
  <c r="M12" i="2072"/>
  <c r="P12" i="2072"/>
  <c r="AC12" i="2072" s="1"/>
  <c r="AF11" i="2072"/>
  <c r="AB11" i="2072"/>
  <c r="Q11" i="2072"/>
  <c r="P11" i="2072"/>
  <c r="AC11" i="2072" s="1"/>
  <c r="O11" i="2072"/>
  <c r="M11" i="2072"/>
  <c r="K11" i="2072"/>
  <c r="AF10" i="2072"/>
  <c r="AB10" i="2072"/>
  <c r="Q10" i="2072"/>
  <c r="P10" i="2072"/>
  <c r="AC10" i="2072" s="1"/>
  <c r="O10" i="2072"/>
  <c r="M10" i="2072"/>
  <c r="K10" i="2072"/>
  <c r="AF9" i="2072"/>
  <c r="Q9" i="2072"/>
  <c r="O9" i="2072"/>
  <c r="AF8" i="2072"/>
  <c r="Q8" i="2072"/>
  <c r="P8" i="2072" s="1"/>
  <c r="AC8" i="2072" s="1"/>
  <c r="AB8" i="2072"/>
  <c r="AF7" i="2072"/>
  <c r="Q7" i="2072"/>
  <c r="P7" i="2072" s="1"/>
  <c r="AC7" i="2072" s="1"/>
  <c r="O7" i="2072"/>
  <c r="AB7" i="2072"/>
  <c r="AF6" i="2072"/>
  <c r="AB6" i="2072"/>
  <c r="Q6" i="2072"/>
  <c r="M6" i="2072"/>
  <c r="P6" i="2072"/>
  <c r="AC6" i="2072" s="1"/>
  <c r="AD24" i="16"/>
  <c r="AD23" i="16"/>
  <c r="AD22" i="16"/>
  <c r="AD21" i="16"/>
  <c r="AD20" i="16"/>
  <c r="AD19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2071"/>
  <c r="L20" i="2071"/>
  <c r="K20" i="2071"/>
  <c r="L19" i="2071"/>
  <c r="L17" i="2071"/>
  <c r="L14" i="2071"/>
  <c r="L13" i="2071"/>
  <c r="L10" i="2071"/>
  <c r="L9" i="2071"/>
  <c r="K9" i="2071"/>
  <c r="L8" i="2071"/>
  <c r="K8" i="2071" s="1"/>
  <c r="L7" i="2071"/>
  <c r="K7" i="2071"/>
  <c r="AF7" i="2071"/>
  <c r="AB7" i="2071"/>
  <c r="Q7" i="2071"/>
  <c r="P7" i="2071" s="1"/>
  <c r="AC7" i="2071" s="1"/>
  <c r="O7" i="2071"/>
  <c r="M7" i="2071"/>
  <c r="L6" i="2071"/>
  <c r="K6" i="2071" s="1"/>
  <c r="K28" i="2071"/>
  <c r="K27" i="2071"/>
  <c r="K26" i="2071"/>
  <c r="K25" i="2071"/>
  <c r="K21" i="2071"/>
  <c r="K19" i="2071"/>
  <c r="K17" i="2071"/>
  <c r="K15" i="2071"/>
  <c r="K14" i="2071"/>
  <c r="K13" i="2071"/>
  <c r="K12" i="2071"/>
  <c r="K10" i="2071"/>
  <c r="A84" i="2071"/>
  <c r="A85" i="2071" s="1"/>
  <c r="A86" i="2071" s="1"/>
  <c r="A87" i="2071" s="1"/>
  <c r="A88" i="2071" s="1"/>
  <c r="A89" i="2071" s="1"/>
  <c r="AF68" i="2071"/>
  <c r="AF67" i="2071"/>
  <c r="AA29" i="2071"/>
  <c r="Z29" i="2071"/>
  <c r="Y29" i="2071"/>
  <c r="X29" i="2071"/>
  <c r="W29" i="2071"/>
  <c r="V29" i="2071"/>
  <c r="U29" i="2071"/>
  <c r="T29" i="2071"/>
  <c r="S29" i="2071"/>
  <c r="R29" i="2071"/>
  <c r="N29" i="2071"/>
  <c r="J29" i="2071"/>
  <c r="I29" i="2071"/>
  <c r="AF28" i="2071"/>
  <c r="Q28" i="2071"/>
  <c r="P28" i="2071"/>
  <c r="AC28" i="2071" s="1"/>
  <c r="AF27" i="2071"/>
  <c r="Q27" i="2071"/>
  <c r="P27" i="2071"/>
  <c r="AC27" i="2071" s="1"/>
  <c r="O27" i="2071"/>
  <c r="AF26" i="2071"/>
  <c r="Q26" i="2071"/>
  <c r="P26" i="2071"/>
  <c r="AC26" i="2071" s="1"/>
  <c r="O26" i="2071"/>
  <c r="AB26" i="2071"/>
  <c r="AF25" i="2071"/>
  <c r="AB25" i="2071"/>
  <c r="Q25" i="2071"/>
  <c r="P25" i="2071"/>
  <c r="AC25" i="2071" s="1"/>
  <c r="O25" i="2071"/>
  <c r="M25" i="2071"/>
  <c r="AF24" i="2071"/>
  <c r="AB24" i="2071"/>
  <c r="Q24" i="2071"/>
  <c r="P24" i="2071"/>
  <c r="AC24" i="2071" s="1"/>
  <c r="AD24" i="2071" s="1"/>
  <c r="O24" i="2071"/>
  <c r="M24" i="2071"/>
  <c r="K24" i="2071"/>
  <c r="AF23" i="2071"/>
  <c r="AB23" i="2071"/>
  <c r="Q23" i="2071"/>
  <c r="P23" i="2071"/>
  <c r="AC23" i="2071" s="1"/>
  <c r="O23" i="2071"/>
  <c r="M23" i="2071"/>
  <c r="K23" i="2071"/>
  <c r="AF22" i="2071"/>
  <c r="AB22" i="2071"/>
  <c r="Q22" i="2071"/>
  <c r="P22" i="2071"/>
  <c r="AC22" i="2071" s="1"/>
  <c r="O22" i="2071"/>
  <c r="M22" i="2071"/>
  <c r="K22" i="2071"/>
  <c r="AF21" i="2071"/>
  <c r="AB21" i="2071"/>
  <c r="Q21" i="2071"/>
  <c r="P21" i="2071" s="1"/>
  <c r="AC21" i="2071" s="1"/>
  <c r="O21" i="2071"/>
  <c r="M21" i="2071"/>
  <c r="AF20" i="2071"/>
  <c r="AB20" i="2071"/>
  <c r="Q20" i="2071"/>
  <c r="P20" i="2071"/>
  <c r="AC20" i="2071" s="1"/>
  <c r="O20" i="2071"/>
  <c r="M20" i="2071"/>
  <c r="AF19" i="2071"/>
  <c r="Q19" i="2071"/>
  <c r="P19" i="2071" s="1"/>
  <c r="AC19" i="2071" s="1"/>
  <c r="AF18" i="2071"/>
  <c r="AB18" i="2071"/>
  <c r="Q18" i="2071"/>
  <c r="P18" i="2071"/>
  <c r="AC18" i="2071" s="1"/>
  <c r="O18" i="2071"/>
  <c r="M18" i="2071"/>
  <c r="K18" i="2071"/>
  <c r="AF17" i="2071"/>
  <c r="AB17" i="2071"/>
  <c r="Q17" i="2071"/>
  <c r="M17" i="2071"/>
  <c r="P17" i="2071"/>
  <c r="AC17" i="2071" s="1"/>
  <c r="AF16" i="2071"/>
  <c r="AB16" i="2071"/>
  <c r="Q16" i="2071"/>
  <c r="P16" i="2071"/>
  <c r="AC16" i="2071" s="1"/>
  <c r="O16" i="2071"/>
  <c r="M16" i="2071"/>
  <c r="K16" i="2071"/>
  <c r="AF15" i="2071"/>
  <c r="AB15" i="2071"/>
  <c r="Q15" i="2071"/>
  <c r="P15" i="2071" s="1"/>
  <c r="AC15" i="2071" s="1"/>
  <c r="O15" i="2071"/>
  <c r="M15" i="2071"/>
  <c r="AF14" i="2071"/>
  <c r="Q14" i="2071"/>
  <c r="P14" i="2071"/>
  <c r="AC14" i="2071" s="1"/>
  <c r="AF13" i="2071"/>
  <c r="AB13" i="2071"/>
  <c r="Q13" i="2071"/>
  <c r="P13" i="2071"/>
  <c r="AC13" i="2071" s="1"/>
  <c r="O13" i="2071"/>
  <c r="M13" i="2071"/>
  <c r="AF12" i="2071"/>
  <c r="AB12" i="2071"/>
  <c r="Q12" i="2071"/>
  <c r="O12" i="2071"/>
  <c r="M12" i="2071"/>
  <c r="P12" i="2071"/>
  <c r="AC12" i="2071" s="1"/>
  <c r="AD12" i="2071" s="1"/>
  <c r="AF11" i="2071"/>
  <c r="AB11" i="2071"/>
  <c r="Q11" i="2071"/>
  <c r="P11" i="2071"/>
  <c r="AC11" i="2071" s="1"/>
  <c r="AD11" i="2071" s="1"/>
  <c r="O11" i="2071"/>
  <c r="M11" i="2071"/>
  <c r="K11" i="2071"/>
  <c r="AF10" i="2071"/>
  <c r="AB10" i="2071"/>
  <c r="Q10" i="2071"/>
  <c r="P10" i="2071"/>
  <c r="AC10" i="2071" s="1"/>
  <c r="O10" i="2071"/>
  <c r="M10" i="2071"/>
  <c r="AF9" i="2071"/>
  <c r="AB9" i="2071"/>
  <c r="Q9" i="2071"/>
  <c r="P9" i="2071" s="1"/>
  <c r="AC9" i="2071" s="1"/>
  <c r="O9" i="2071"/>
  <c r="M9" i="2071"/>
  <c r="AF8" i="2071"/>
  <c r="AB8" i="2071"/>
  <c r="Q8" i="2071"/>
  <c r="P8" i="2071" s="1"/>
  <c r="AC8" i="2071" s="1"/>
  <c r="M8" i="2071"/>
  <c r="AF6" i="2071"/>
  <c r="AB6" i="2071"/>
  <c r="Q6" i="2071"/>
  <c r="M6" i="2071"/>
  <c r="P6" i="2071"/>
  <c r="AC25" i="16"/>
  <c r="AC24" i="16"/>
  <c r="AC23" i="16"/>
  <c r="AC22" i="16"/>
  <c r="AC21" i="16"/>
  <c r="AC20" i="1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F9" i="2070"/>
  <c r="Q9" i="2070"/>
  <c r="O9" i="2070"/>
  <c r="AB9" i="2070"/>
  <c r="L21" i="2070"/>
  <c r="Q28" i="2072" l="1"/>
  <c r="AD27" i="2072"/>
  <c r="AD12" i="2072"/>
  <c r="AD23" i="2072"/>
  <c r="AD26" i="2072"/>
  <c r="AD11" i="2072"/>
  <c r="AD10" i="2072"/>
  <c r="AD24" i="2072"/>
  <c r="AD15" i="2072"/>
  <c r="AD17" i="2072"/>
  <c r="AD6" i="2072"/>
  <c r="AD14" i="2072"/>
  <c r="AD21" i="2072"/>
  <c r="AD7" i="2072"/>
  <c r="AD18" i="2072"/>
  <c r="AD13" i="2072"/>
  <c r="M7" i="2072"/>
  <c r="O8" i="2072"/>
  <c r="AD8" i="2072" s="1"/>
  <c r="P9" i="2072"/>
  <c r="AC9" i="2072" s="1"/>
  <c r="M13" i="2072"/>
  <c r="O16" i="2072"/>
  <c r="AD16" i="2072" s="1"/>
  <c r="M18" i="2072"/>
  <c r="O19" i="2072"/>
  <c r="AD19" i="2072" s="1"/>
  <c r="P20" i="2072"/>
  <c r="AC20" i="2072" s="1"/>
  <c r="L28" i="2072"/>
  <c r="O28" i="2072" s="1"/>
  <c r="M9" i="2072"/>
  <c r="AB9" i="2072"/>
  <c r="M20" i="2072"/>
  <c r="AB20" i="2072"/>
  <c r="M8" i="2072"/>
  <c r="M16" i="2072"/>
  <c r="M19" i="2072"/>
  <c r="AD7" i="2071"/>
  <c r="O8" i="2071"/>
  <c r="AD8" i="2071" s="1"/>
  <c r="AD10" i="2071"/>
  <c r="AD15" i="2071"/>
  <c r="AD20" i="2071"/>
  <c r="AD25" i="2071"/>
  <c r="AF70" i="2071"/>
  <c r="Q29" i="2071"/>
  <c r="AD23" i="2071"/>
  <c r="AD16" i="2071"/>
  <c r="AD18" i="2071"/>
  <c r="AD22" i="2071"/>
  <c r="AD18" i="16" s="1"/>
  <c r="AD9" i="2071"/>
  <c r="AD13" i="2071"/>
  <c r="AD21" i="2071"/>
  <c r="AC6" i="2071"/>
  <c r="P29" i="2071"/>
  <c r="AD26" i="2071"/>
  <c r="M28" i="2071"/>
  <c r="AB28" i="2071"/>
  <c r="L29" i="2071"/>
  <c r="O29" i="2071" s="1"/>
  <c r="O6" i="2071"/>
  <c r="M14" i="2071"/>
  <c r="AB14" i="2071"/>
  <c r="O17" i="2071"/>
  <c r="AD17" i="2071" s="1"/>
  <c r="M19" i="2071"/>
  <c r="AB19" i="2071"/>
  <c r="M27" i="2071"/>
  <c r="AB27" i="2071"/>
  <c r="AD27" i="2071" s="1"/>
  <c r="O28" i="2071"/>
  <c r="O14" i="2071"/>
  <c r="O19" i="2071"/>
  <c r="M26" i="2071"/>
  <c r="K9" i="2070"/>
  <c r="P9" i="2070"/>
  <c r="AC9" i="2070" s="1"/>
  <c r="AD9" i="2070" s="1"/>
  <c r="M9" i="2070"/>
  <c r="AD9" i="2072" l="1"/>
  <c r="M28" i="2072"/>
  <c r="P28" i="2072"/>
  <c r="K28" i="2072"/>
  <c r="AD20" i="2072"/>
  <c r="AB28" i="2072"/>
  <c r="AD19" i="2071"/>
  <c r="AB29" i="2071"/>
  <c r="AD28" i="2071"/>
  <c r="AD14" i="2071"/>
  <c r="M29" i="2071"/>
  <c r="K29" i="2071"/>
  <c r="AD6" i="2071"/>
  <c r="AC29" i="2071"/>
  <c r="L19" i="2070"/>
  <c r="AB19" i="2070" s="1"/>
  <c r="L17" i="2070"/>
  <c r="O17" i="2070" s="1"/>
  <c r="L14" i="2070"/>
  <c r="L13" i="2070"/>
  <c r="K13" i="2070" s="1"/>
  <c r="L12" i="2070"/>
  <c r="K12" i="2070" s="1"/>
  <c r="L10" i="2070"/>
  <c r="O10" i="2070" s="1"/>
  <c r="L8" i="2070"/>
  <c r="K8" i="2070" s="1"/>
  <c r="L6" i="2070"/>
  <c r="K6" i="2070"/>
  <c r="L28" i="2070"/>
  <c r="M28" i="2070" s="1"/>
  <c r="L27" i="2070"/>
  <c r="L26" i="2070"/>
  <c r="L25" i="2070"/>
  <c r="O25" i="2070" s="1"/>
  <c r="K27" i="2070"/>
  <c r="K26" i="2070"/>
  <c r="K21" i="2070"/>
  <c r="K20" i="2070"/>
  <c r="K15" i="2070"/>
  <c r="K14" i="2070"/>
  <c r="K11" i="2070"/>
  <c r="A85" i="2070"/>
  <c r="A86" i="2070" s="1"/>
  <c r="A87" i="2070" s="1"/>
  <c r="A88" i="2070" s="1"/>
  <c r="A89" i="2070" s="1"/>
  <c r="A84" i="2070"/>
  <c r="AF68" i="2070"/>
  <c r="AF67" i="2070"/>
  <c r="AF70" i="2070" s="1"/>
  <c r="AA29" i="2070"/>
  <c r="Z29" i="2070"/>
  <c r="Y29" i="2070"/>
  <c r="X29" i="2070"/>
  <c r="W29" i="2070"/>
  <c r="V29" i="2070"/>
  <c r="U29" i="2070"/>
  <c r="T29" i="2070"/>
  <c r="S29" i="2070"/>
  <c r="R29" i="2070"/>
  <c r="N29" i="2070"/>
  <c r="J29" i="2070"/>
  <c r="I29" i="2070"/>
  <c r="AF28" i="2070"/>
  <c r="Q28" i="2070"/>
  <c r="AF27" i="2070"/>
  <c r="Q27" i="2070"/>
  <c r="P27" i="2070" s="1"/>
  <c r="AC27" i="2070" s="1"/>
  <c r="AF26" i="2070"/>
  <c r="AB26" i="2070"/>
  <c r="Q26" i="2070"/>
  <c r="P26" i="2070" s="1"/>
  <c r="AC26" i="2070" s="1"/>
  <c r="M26" i="2070"/>
  <c r="O26" i="2070"/>
  <c r="AF25" i="2070"/>
  <c r="Q25" i="2070"/>
  <c r="AF24" i="2070"/>
  <c r="AB24" i="2070"/>
  <c r="Q24" i="2070"/>
  <c r="P24" i="2070"/>
  <c r="AC24" i="2070" s="1"/>
  <c r="O24" i="2070"/>
  <c r="M24" i="2070"/>
  <c r="K24" i="2070"/>
  <c r="AF23" i="2070"/>
  <c r="AB23" i="2070"/>
  <c r="Q23" i="2070"/>
  <c r="P23" i="2070"/>
  <c r="AC23" i="2070" s="1"/>
  <c r="O23" i="2070"/>
  <c r="M23" i="2070"/>
  <c r="K23" i="2070"/>
  <c r="AF22" i="2070"/>
  <c r="AB22" i="2070"/>
  <c r="Q22" i="2070"/>
  <c r="P22" i="2070"/>
  <c r="AC22" i="2070" s="1"/>
  <c r="O22" i="2070"/>
  <c r="M22" i="2070"/>
  <c r="K22" i="2070"/>
  <c r="AF21" i="2070"/>
  <c r="Q21" i="2070"/>
  <c r="O21" i="2070"/>
  <c r="AF20" i="2070"/>
  <c r="Q20" i="2070"/>
  <c r="O20" i="2070"/>
  <c r="P20" i="2070"/>
  <c r="AC20" i="2070" s="1"/>
  <c r="AF19" i="2070"/>
  <c r="Q19" i="2070"/>
  <c r="O19" i="2070"/>
  <c r="M19" i="2070"/>
  <c r="AF18" i="2070"/>
  <c r="AB18" i="2070"/>
  <c r="Q18" i="2070"/>
  <c r="P18" i="2070"/>
  <c r="AC18" i="2070" s="1"/>
  <c r="AD18" i="2070" s="1"/>
  <c r="O18" i="2070"/>
  <c r="M18" i="2070"/>
  <c r="K18" i="2070"/>
  <c r="AF17" i="2070"/>
  <c r="Q17" i="2070"/>
  <c r="AF16" i="2070"/>
  <c r="AB16" i="2070"/>
  <c r="Q16" i="2070"/>
  <c r="P16" i="2070"/>
  <c r="AC16" i="2070" s="1"/>
  <c r="O16" i="2070"/>
  <c r="M16" i="2070"/>
  <c r="K16" i="2070"/>
  <c r="AF15" i="2070"/>
  <c r="AB15" i="2070"/>
  <c r="Q15" i="2070"/>
  <c r="P15" i="2070" s="1"/>
  <c r="AC15" i="2070" s="1"/>
  <c r="M15" i="2070"/>
  <c r="O15" i="2070"/>
  <c r="AF14" i="2070"/>
  <c r="Q14" i="2070"/>
  <c r="P14" i="2070" s="1"/>
  <c r="AC14" i="2070" s="1"/>
  <c r="O14" i="2070"/>
  <c r="AF13" i="2070"/>
  <c r="Q13" i="2070"/>
  <c r="O13" i="2070"/>
  <c r="AF12" i="2070"/>
  <c r="Q12" i="2070"/>
  <c r="AF11" i="2070"/>
  <c r="AB11" i="2070"/>
  <c r="Q11" i="2070"/>
  <c r="P11" i="2070"/>
  <c r="AC11" i="2070" s="1"/>
  <c r="M11" i="2070"/>
  <c r="O11" i="2070"/>
  <c r="AF10" i="2070"/>
  <c r="Q10" i="2070"/>
  <c r="AF8" i="2070"/>
  <c r="AB8" i="2070"/>
  <c r="Q8" i="2070"/>
  <c r="P8" i="2070"/>
  <c r="AC8" i="2070" s="1"/>
  <c r="O8" i="2070"/>
  <c r="M8" i="2070"/>
  <c r="AF7" i="2070"/>
  <c r="AB7" i="2070"/>
  <c r="Q7" i="2070"/>
  <c r="P7" i="2070"/>
  <c r="AC7" i="2070" s="1"/>
  <c r="O7" i="2070"/>
  <c r="M7" i="2070"/>
  <c r="K7" i="2070"/>
  <c r="AF6" i="2070"/>
  <c r="Q6" i="2070"/>
  <c r="P6" i="2070" s="1"/>
  <c r="O6" i="2070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1" i="2069"/>
  <c r="L20" i="2069"/>
  <c r="AF19" i="2069"/>
  <c r="Q19" i="2069"/>
  <c r="O19" i="2069"/>
  <c r="L19" i="2069"/>
  <c r="AB19" i="2069" s="1"/>
  <c r="K20" i="2069"/>
  <c r="L18" i="2069"/>
  <c r="K18" i="2069"/>
  <c r="L16" i="2069"/>
  <c r="L14" i="2069"/>
  <c r="L13" i="2069"/>
  <c r="L12" i="2069"/>
  <c r="L11" i="2069"/>
  <c r="K11" i="2069"/>
  <c r="L10" i="2069"/>
  <c r="K10" i="2069" s="1"/>
  <c r="L9" i="2069"/>
  <c r="L8" i="2069"/>
  <c r="K9" i="2069"/>
  <c r="AC28" i="2072" l="1"/>
  <c r="AD28" i="2072"/>
  <c r="AD29" i="2071"/>
  <c r="AD25" i="16" s="1"/>
  <c r="P28" i="2070"/>
  <c r="AC28" i="2070" s="1"/>
  <c r="K25" i="2070"/>
  <c r="P10" i="2070"/>
  <c r="AC10" i="2070" s="1"/>
  <c r="P17" i="2070"/>
  <c r="AC17" i="2070" s="1"/>
  <c r="K17" i="2070"/>
  <c r="O12" i="2070"/>
  <c r="P19" i="2070"/>
  <c r="AC19" i="2070" s="1"/>
  <c r="AD23" i="2070"/>
  <c r="O28" i="2070"/>
  <c r="AD28" i="2070" s="1"/>
  <c r="AB28" i="2070"/>
  <c r="K19" i="2070"/>
  <c r="K28" i="2070"/>
  <c r="AD7" i="2070"/>
  <c r="AC4" i="16" s="1"/>
  <c r="AD22" i="2070"/>
  <c r="AD19" i="2070"/>
  <c r="P13" i="2070"/>
  <c r="AC13" i="2070" s="1"/>
  <c r="AD13" i="2070" s="1"/>
  <c r="M13" i="2070"/>
  <c r="AB13" i="2070"/>
  <c r="K10" i="2070"/>
  <c r="Q29" i="2070"/>
  <c r="AB25" i="2070"/>
  <c r="AD8" i="2070"/>
  <c r="AD16" i="2070"/>
  <c r="AD15" i="2070"/>
  <c r="AD24" i="2070"/>
  <c r="AD11" i="2070"/>
  <c r="AD26" i="2070"/>
  <c r="AC6" i="2070"/>
  <c r="M6" i="2070"/>
  <c r="AB6" i="2070"/>
  <c r="M10" i="2070"/>
  <c r="AB10" i="2070"/>
  <c r="AD10" i="2070" s="1"/>
  <c r="P12" i="2070"/>
  <c r="AC12" i="2070" s="1"/>
  <c r="M14" i="2070"/>
  <c r="AB14" i="2070"/>
  <c r="AD14" i="2070" s="1"/>
  <c r="M17" i="2070"/>
  <c r="AB17" i="2070"/>
  <c r="M20" i="2070"/>
  <c r="AB20" i="2070"/>
  <c r="AD20" i="2070" s="1"/>
  <c r="P21" i="2070"/>
  <c r="AC21" i="2070" s="1"/>
  <c r="L29" i="2070"/>
  <c r="O29" i="2070" s="1"/>
  <c r="P25" i="2070"/>
  <c r="AC25" i="2070" s="1"/>
  <c r="M27" i="2070"/>
  <c r="AB27" i="2070"/>
  <c r="M12" i="2070"/>
  <c r="AB12" i="2070"/>
  <c r="M21" i="2070"/>
  <c r="AB21" i="2070"/>
  <c r="O27" i="2070"/>
  <c r="M25" i="2070"/>
  <c r="K19" i="2069"/>
  <c r="P19" i="2069"/>
  <c r="AC19" i="2069" s="1"/>
  <c r="AD19" i="2069" s="1"/>
  <c r="M19" i="2069"/>
  <c r="AE27" i="2072" l="1"/>
  <c r="AE25" i="2072"/>
  <c r="AE23" i="2072"/>
  <c r="AE21" i="2072"/>
  <c r="AE18" i="2072"/>
  <c r="AE15" i="2072"/>
  <c r="AE13" i="2072"/>
  <c r="AE10" i="2072"/>
  <c r="AE7" i="2072"/>
  <c r="AE19" i="2072"/>
  <c r="AE16" i="2072"/>
  <c r="AE8" i="2072"/>
  <c r="AE26" i="2072"/>
  <c r="AE24" i="2072"/>
  <c r="AE22" i="2072"/>
  <c r="AE20" i="2072"/>
  <c r="AE14" i="2072"/>
  <c r="AE11" i="2072"/>
  <c r="AE9" i="2072"/>
  <c r="AE17" i="2072"/>
  <c r="AE12" i="2072"/>
  <c r="AE6" i="2072"/>
  <c r="AE28" i="2071"/>
  <c r="AE7" i="2071"/>
  <c r="AE18" i="2071"/>
  <c r="AE20" i="2071"/>
  <c r="AE21" i="2071"/>
  <c r="AE16" i="2071"/>
  <c r="AE19" i="2071"/>
  <c r="AE11" i="2071"/>
  <c r="AE25" i="2071"/>
  <c r="AE8" i="2071"/>
  <c r="AE9" i="2071"/>
  <c r="AE17" i="2071"/>
  <c r="AE27" i="2071"/>
  <c r="AE10" i="2071"/>
  <c r="AE23" i="2071"/>
  <c r="AE12" i="2071"/>
  <c r="AE22" i="2071"/>
  <c r="AE14" i="2071"/>
  <c r="AE13" i="2071"/>
  <c r="AE26" i="2071"/>
  <c r="AE15" i="2071"/>
  <c r="AE6" i="2071"/>
  <c r="AE24" i="2071"/>
  <c r="AD25" i="2070"/>
  <c r="AD17" i="2070"/>
  <c r="AD27" i="2070"/>
  <c r="AD21" i="2070"/>
  <c r="AD12" i="2070"/>
  <c r="AB29" i="2070"/>
  <c r="AD6" i="2070"/>
  <c r="AC3" i="16" s="1"/>
  <c r="AC29" i="2070"/>
  <c r="M29" i="2070"/>
  <c r="K29" i="2070"/>
  <c r="P29" i="2070"/>
  <c r="K8" i="2069"/>
  <c r="L6" i="2069"/>
  <c r="O6" i="2069" s="1"/>
  <c r="L28" i="2069"/>
  <c r="L27" i="2069"/>
  <c r="L26" i="2069"/>
  <c r="L25" i="2069"/>
  <c r="AB25" i="2069" s="1"/>
  <c r="K28" i="2069"/>
  <c r="K27" i="2069"/>
  <c r="K26" i="2069"/>
  <c r="K21" i="2069"/>
  <c r="K16" i="2069"/>
  <c r="K13" i="2069"/>
  <c r="K14" i="2069"/>
  <c r="K12" i="2069"/>
  <c r="A84" i="2069"/>
  <c r="A85" i="2069" s="1"/>
  <c r="A86" i="2069" s="1"/>
  <c r="A87" i="2069" s="1"/>
  <c r="A88" i="2069" s="1"/>
  <c r="A89" i="2069" s="1"/>
  <c r="AF68" i="2069"/>
  <c r="AF67" i="2069"/>
  <c r="AA29" i="2069"/>
  <c r="Z29" i="2069"/>
  <c r="Y29" i="2069"/>
  <c r="X29" i="2069"/>
  <c r="W29" i="2069"/>
  <c r="V29" i="2069"/>
  <c r="U29" i="2069"/>
  <c r="T29" i="2069"/>
  <c r="S29" i="2069"/>
  <c r="R29" i="2069"/>
  <c r="N29" i="2069"/>
  <c r="J29" i="2069"/>
  <c r="I29" i="2069"/>
  <c r="AF28" i="2069"/>
  <c r="Q28" i="2069"/>
  <c r="P28" i="2069" s="1"/>
  <c r="AC28" i="2069" s="1"/>
  <c r="O28" i="2069"/>
  <c r="AF27" i="2069"/>
  <c r="Q27" i="2069"/>
  <c r="P27" i="2069" s="1"/>
  <c r="AC27" i="2069" s="1"/>
  <c r="O27" i="2069"/>
  <c r="AB27" i="2069"/>
  <c r="AF26" i="2069"/>
  <c r="AB26" i="2069"/>
  <c r="Q26" i="2069"/>
  <c r="O26" i="2069"/>
  <c r="M26" i="2069"/>
  <c r="AF25" i="2069"/>
  <c r="Q25" i="2069"/>
  <c r="AF24" i="2069"/>
  <c r="AB24" i="2069"/>
  <c r="Q24" i="2069"/>
  <c r="P24" i="2069"/>
  <c r="AC24" i="2069" s="1"/>
  <c r="O24" i="2069"/>
  <c r="M24" i="2069"/>
  <c r="K24" i="2069"/>
  <c r="AF23" i="2069"/>
  <c r="AB23" i="2069"/>
  <c r="Q23" i="2069"/>
  <c r="P23" i="2069"/>
  <c r="AC23" i="2069" s="1"/>
  <c r="O23" i="2069"/>
  <c r="M23" i="2069"/>
  <c r="K23" i="2069"/>
  <c r="AF22" i="2069"/>
  <c r="AB22" i="2069"/>
  <c r="Q22" i="2069"/>
  <c r="P22" i="2069"/>
  <c r="AC22" i="2069" s="1"/>
  <c r="O22" i="2069"/>
  <c r="M22" i="2069"/>
  <c r="K22" i="2069"/>
  <c r="AF21" i="2069"/>
  <c r="AB21" i="2069"/>
  <c r="Q21" i="2069"/>
  <c r="P21" i="2069" s="1"/>
  <c r="AC21" i="2069" s="1"/>
  <c r="O21" i="2069"/>
  <c r="M21" i="2069"/>
  <c r="AF20" i="2069"/>
  <c r="AB20" i="2069"/>
  <c r="Q20" i="2069"/>
  <c r="P20" i="2069" s="1"/>
  <c r="AC20" i="2069" s="1"/>
  <c r="O20" i="2069"/>
  <c r="M20" i="2069"/>
  <c r="AF18" i="2069"/>
  <c r="AB18" i="2069"/>
  <c r="Q18" i="2069"/>
  <c r="P18" i="2069" s="1"/>
  <c r="AC18" i="2069" s="1"/>
  <c r="AD18" i="2069" s="1"/>
  <c r="O18" i="2069"/>
  <c r="M18" i="2069"/>
  <c r="AF17" i="2069"/>
  <c r="AB17" i="2069"/>
  <c r="Q17" i="2069"/>
  <c r="P17" i="2069"/>
  <c r="AC17" i="2069" s="1"/>
  <c r="O17" i="2069"/>
  <c r="M17" i="2069"/>
  <c r="K17" i="2069"/>
  <c r="AF16" i="2069"/>
  <c r="AB16" i="2069"/>
  <c r="Q16" i="2069"/>
  <c r="P16" i="2069" s="1"/>
  <c r="AC16" i="2069" s="1"/>
  <c r="O16" i="2069"/>
  <c r="M16" i="2069"/>
  <c r="AF15" i="2069"/>
  <c r="AB15" i="2069"/>
  <c r="Q15" i="2069"/>
  <c r="P15" i="2069"/>
  <c r="AC15" i="2069" s="1"/>
  <c r="O15" i="2069"/>
  <c r="M15" i="2069"/>
  <c r="K15" i="2069"/>
  <c r="AF14" i="2069"/>
  <c r="Q14" i="2069"/>
  <c r="P14" i="2069" s="1"/>
  <c r="AC14" i="2069" s="1"/>
  <c r="O14" i="2069"/>
  <c r="AF13" i="2069"/>
  <c r="AB13" i="2069"/>
  <c r="Q13" i="2069"/>
  <c r="P13" i="2069" s="1"/>
  <c r="AC13" i="2069" s="1"/>
  <c r="O13" i="2069"/>
  <c r="M13" i="2069"/>
  <c r="AF12" i="2069"/>
  <c r="AB12" i="2069"/>
  <c r="Q12" i="2069"/>
  <c r="P12" i="2069" s="1"/>
  <c r="AC12" i="2069" s="1"/>
  <c r="O12" i="2069"/>
  <c r="M12" i="2069"/>
  <c r="AF11" i="2069"/>
  <c r="AB11" i="2069"/>
  <c r="Q11" i="2069"/>
  <c r="P11" i="2069"/>
  <c r="AC11" i="2069" s="1"/>
  <c r="O11" i="2069"/>
  <c r="M11" i="2069"/>
  <c r="AF10" i="2069"/>
  <c r="AB10" i="2069"/>
  <c r="Q10" i="2069"/>
  <c r="P10" i="2069" s="1"/>
  <c r="AC10" i="2069" s="1"/>
  <c r="O10" i="2069"/>
  <c r="M10" i="2069"/>
  <c r="AF9" i="2069"/>
  <c r="Q9" i="2069"/>
  <c r="P9" i="2069" s="1"/>
  <c r="AC9" i="2069" s="1"/>
  <c r="AF8" i="2069"/>
  <c r="AB8" i="2069"/>
  <c r="Q8" i="2069"/>
  <c r="P8" i="2069" s="1"/>
  <c r="AC8" i="2069" s="1"/>
  <c r="O8" i="2069"/>
  <c r="M8" i="2069"/>
  <c r="AF7" i="2069"/>
  <c r="AC7" i="2069"/>
  <c r="AB7" i="2069"/>
  <c r="Q7" i="2069"/>
  <c r="P7" i="2069"/>
  <c r="O7" i="2069"/>
  <c r="M7" i="2069"/>
  <c r="K7" i="2069"/>
  <c r="AF6" i="2069"/>
  <c r="Q6" i="2069"/>
  <c r="P6" i="2069"/>
  <c r="AC6" i="2069" s="1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7" i="2068"/>
  <c r="K27" i="2068"/>
  <c r="L26" i="2068"/>
  <c r="K26" i="2068" s="1"/>
  <c r="L25" i="2068"/>
  <c r="K25" i="2068"/>
  <c r="L24" i="2068"/>
  <c r="K24" i="2068" s="1"/>
  <c r="L20" i="2068"/>
  <c r="K18" i="2068"/>
  <c r="L16" i="2068"/>
  <c r="L14" i="2068"/>
  <c r="K14" i="2068"/>
  <c r="L13" i="2068"/>
  <c r="K13" i="2068"/>
  <c r="L12" i="2068"/>
  <c r="K12" i="2068" s="1"/>
  <c r="L9" i="2068"/>
  <c r="AB9" i="2068" s="1"/>
  <c r="AF9" i="2068"/>
  <c r="Q9" i="2068"/>
  <c r="P9" i="2068"/>
  <c r="AC9" i="2068" s="1"/>
  <c r="O9" i="2068"/>
  <c r="K9" i="2068"/>
  <c r="L6" i="2068"/>
  <c r="K20" i="2068"/>
  <c r="K19" i="2068"/>
  <c r="K16" i="2068"/>
  <c r="K7" i="2068"/>
  <c r="K6" i="2068"/>
  <c r="A83" i="2068"/>
  <c r="A84" i="2068" s="1"/>
  <c r="A85" i="2068" s="1"/>
  <c r="A86" i="2068" s="1"/>
  <c r="A87" i="2068" s="1"/>
  <c r="A88" i="2068" s="1"/>
  <c r="AF67" i="2068"/>
  <c r="AF66" i="2068"/>
  <c r="AA28" i="2068"/>
  <c r="Z28" i="2068"/>
  <c r="Y28" i="2068"/>
  <c r="X28" i="2068"/>
  <c r="W28" i="2068"/>
  <c r="V28" i="2068"/>
  <c r="U28" i="2068"/>
  <c r="T28" i="2068"/>
  <c r="S28" i="2068"/>
  <c r="R28" i="2068"/>
  <c r="N28" i="2068"/>
  <c r="J28" i="2068"/>
  <c r="I28" i="2068"/>
  <c r="AF27" i="2068"/>
  <c r="AB27" i="2068"/>
  <c r="Q27" i="2068"/>
  <c r="P27" i="2068"/>
  <c r="AC27" i="2068" s="1"/>
  <c r="O27" i="2068"/>
  <c r="M27" i="2068"/>
  <c r="AF26" i="2068"/>
  <c r="AB26" i="2068"/>
  <c r="Q26" i="2068"/>
  <c r="P26" i="2068"/>
  <c r="AC26" i="2068" s="1"/>
  <c r="AD26" i="2068" s="1"/>
  <c r="O26" i="2068"/>
  <c r="M26" i="2068"/>
  <c r="AF25" i="2068"/>
  <c r="AB25" i="2068"/>
  <c r="Q25" i="2068"/>
  <c r="P25" i="2068" s="1"/>
  <c r="AC25" i="2068" s="1"/>
  <c r="O25" i="2068"/>
  <c r="M25" i="2068"/>
  <c r="AF24" i="2068"/>
  <c r="AB24" i="2068"/>
  <c r="Q24" i="2068"/>
  <c r="M24" i="2068"/>
  <c r="AF23" i="2068"/>
  <c r="AB23" i="2068"/>
  <c r="Q23" i="2068"/>
  <c r="P23" i="2068"/>
  <c r="AC23" i="2068" s="1"/>
  <c r="O23" i="2068"/>
  <c r="M23" i="2068"/>
  <c r="K23" i="2068"/>
  <c r="AF22" i="2068"/>
  <c r="AB22" i="2068"/>
  <c r="Q22" i="2068"/>
  <c r="P22" i="2068"/>
  <c r="AC22" i="2068" s="1"/>
  <c r="AD22" i="2068" s="1"/>
  <c r="O22" i="2068"/>
  <c r="M22" i="2068"/>
  <c r="K22" i="2068"/>
  <c r="AF21" i="2068"/>
  <c r="AB21" i="2068"/>
  <c r="Q21" i="2068"/>
  <c r="P21" i="2068"/>
  <c r="AC21" i="2068" s="1"/>
  <c r="O21" i="2068"/>
  <c r="M21" i="2068"/>
  <c r="K21" i="2068"/>
  <c r="AF20" i="2068"/>
  <c r="AB20" i="2068"/>
  <c r="Q20" i="2068"/>
  <c r="P20" i="2068" s="1"/>
  <c r="AC20" i="2068" s="1"/>
  <c r="M20" i="2068"/>
  <c r="O20" i="2068"/>
  <c r="AF19" i="2068"/>
  <c r="Q19" i="2068"/>
  <c r="O19" i="2068"/>
  <c r="AB19" i="2068"/>
  <c r="AF18" i="2068"/>
  <c r="AB18" i="2068"/>
  <c r="Q18" i="2068"/>
  <c r="P18" i="2068"/>
  <c r="AC18" i="2068" s="1"/>
  <c r="O18" i="2068"/>
  <c r="M18" i="2068"/>
  <c r="AF17" i="2068"/>
  <c r="AC17" i="2068"/>
  <c r="AB17" i="2068"/>
  <c r="Q17" i="2068"/>
  <c r="P17" i="2068"/>
  <c r="O17" i="2068"/>
  <c r="M17" i="2068"/>
  <c r="K17" i="2068"/>
  <c r="AF16" i="2068"/>
  <c r="Q16" i="2068"/>
  <c r="AB16" i="2068"/>
  <c r="AF15" i="2068"/>
  <c r="AB15" i="2068"/>
  <c r="Q15" i="2068"/>
  <c r="P15" i="2068"/>
  <c r="AC15" i="2068" s="1"/>
  <c r="O15" i="2068"/>
  <c r="M15" i="2068"/>
  <c r="K15" i="2068"/>
  <c r="AF14" i="2068"/>
  <c r="AB14" i="2068"/>
  <c r="Q14" i="2068"/>
  <c r="P14" i="2068" s="1"/>
  <c r="AC14" i="2068" s="1"/>
  <c r="O14" i="2068"/>
  <c r="M14" i="2068"/>
  <c r="AF13" i="2068"/>
  <c r="AB13" i="2068"/>
  <c r="Q13" i="2068"/>
  <c r="P13" i="2068"/>
  <c r="AC13" i="2068" s="1"/>
  <c r="O13" i="2068"/>
  <c r="M13" i="2068"/>
  <c r="AF12" i="2068"/>
  <c r="Q12" i="2068"/>
  <c r="O12" i="2068"/>
  <c r="P12" i="2068"/>
  <c r="AC12" i="2068" s="1"/>
  <c r="AF11" i="2068"/>
  <c r="AB11" i="2068"/>
  <c r="Q11" i="2068"/>
  <c r="P11" i="2068"/>
  <c r="AC11" i="2068" s="1"/>
  <c r="O11" i="2068"/>
  <c r="M11" i="2068"/>
  <c r="K11" i="2068"/>
  <c r="AF10" i="2068"/>
  <c r="AB10" i="2068"/>
  <c r="Q10" i="2068"/>
  <c r="P10" i="2068"/>
  <c r="AC10" i="2068" s="1"/>
  <c r="AD10" i="2068" s="1"/>
  <c r="O10" i="2068"/>
  <c r="M10" i="2068"/>
  <c r="K10" i="2068"/>
  <c r="AF8" i="2068"/>
  <c r="AB8" i="2068"/>
  <c r="Q8" i="2068"/>
  <c r="P8" i="2068"/>
  <c r="AC8" i="2068" s="1"/>
  <c r="O8" i="2068"/>
  <c r="M8" i="2068"/>
  <c r="K8" i="2068"/>
  <c r="AF7" i="2068"/>
  <c r="AB7" i="2068"/>
  <c r="Q7" i="2068"/>
  <c r="P7" i="2068" s="1"/>
  <c r="AC7" i="2068" s="1"/>
  <c r="AD7" i="2068" s="1"/>
  <c r="O7" i="2068"/>
  <c r="M7" i="2068"/>
  <c r="AF6" i="2068"/>
  <c r="Q6" i="2068"/>
  <c r="O6" i="2068"/>
  <c r="X25" i="16"/>
  <c r="X24" i="16"/>
  <c r="X23" i="16"/>
  <c r="X22" i="16"/>
  <c r="X21" i="16"/>
  <c r="X20" i="16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2067"/>
  <c r="K21" i="2067" s="1"/>
  <c r="L20" i="2067"/>
  <c r="K20" i="2067" s="1"/>
  <c r="L19" i="2067"/>
  <c r="K19" i="2067" s="1"/>
  <c r="L17" i="2067"/>
  <c r="AB17" i="2067" s="1"/>
  <c r="L14" i="2067"/>
  <c r="K14" i="2067" s="1"/>
  <c r="L13" i="2067"/>
  <c r="AB13" i="2067" s="1"/>
  <c r="L8" i="2067"/>
  <c r="AB8" i="2067" s="1"/>
  <c r="K8" i="2067"/>
  <c r="L6" i="2067"/>
  <c r="AB6" i="2067" s="1"/>
  <c r="K17" i="2067"/>
  <c r="K13" i="2067"/>
  <c r="K12" i="2067"/>
  <c r="K10" i="2067"/>
  <c r="K9" i="2067"/>
  <c r="K7" i="2067"/>
  <c r="K6" i="2067"/>
  <c r="A85" i="2067"/>
  <c r="A86" i="2067" s="1"/>
  <c r="A87" i="2067" s="1"/>
  <c r="A88" i="2067" s="1"/>
  <c r="A89" i="2067" s="1"/>
  <c r="A84" i="2067"/>
  <c r="AF68" i="2067"/>
  <c r="AF67" i="2067"/>
  <c r="AF70" i="2067" s="1"/>
  <c r="AA29" i="2067"/>
  <c r="Z29" i="2067"/>
  <c r="Y29" i="2067"/>
  <c r="X29" i="2067"/>
  <c r="W29" i="2067"/>
  <c r="V29" i="2067"/>
  <c r="U29" i="2067"/>
  <c r="T29" i="2067"/>
  <c r="S29" i="2067"/>
  <c r="R29" i="2067"/>
  <c r="N29" i="2067"/>
  <c r="J29" i="2067"/>
  <c r="I29" i="2067"/>
  <c r="AF28" i="2067"/>
  <c r="AB28" i="2067"/>
  <c r="Q28" i="2067"/>
  <c r="P28" i="2067"/>
  <c r="AC28" i="2067" s="1"/>
  <c r="AD28" i="2067" s="1"/>
  <c r="O28" i="2067"/>
  <c r="M28" i="2067"/>
  <c r="K28" i="2067"/>
  <c r="AF27" i="2067"/>
  <c r="AB27" i="2067"/>
  <c r="Q27" i="2067"/>
  <c r="P27" i="2067"/>
  <c r="AC27" i="2067" s="1"/>
  <c r="AD27" i="2067" s="1"/>
  <c r="O27" i="2067"/>
  <c r="M27" i="2067"/>
  <c r="K27" i="2067"/>
  <c r="AF26" i="2067"/>
  <c r="AB26" i="2067"/>
  <c r="Q26" i="2067"/>
  <c r="P26" i="2067"/>
  <c r="AC26" i="2067" s="1"/>
  <c r="AD26" i="2067" s="1"/>
  <c r="O26" i="2067"/>
  <c r="M26" i="2067"/>
  <c r="K26" i="2067"/>
  <c r="AF25" i="2067"/>
  <c r="AC25" i="2067"/>
  <c r="AD25" i="2067" s="1"/>
  <c r="AB25" i="2067"/>
  <c r="Q25" i="2067"/>
  <c r="P25" i="2067"/>
  <c r="O25" i="2067"/>
  <c r="M25" i="2067"/>
  <c r="K25" i="2067"/>
  <c r="AF24" i="2067"/>
  <c r="AB24" i="2067"/>
  <c r="Q24" i="2067"/>
  <c r="P24" i="2067"/>
  <c r="AC24" i="2067" s="1"/>
  <c r="AD24" i="2067" s="1"/>
  <c r="O24" i="2067"/>
  <c r="M24" i="2067"/>
  <c r="K24" i="2067"/>
  <c r="AF23" i="2067"/>
  <c r="AC23" i="2067"/>
  <c r="AD23" i="2067" s="1"/>
  <c r="AB23" i="2067"/>
  <c r="Q23" i="2067"/>
  <c r="P23" i="2067"/>
  <c r="O23" i="2067"/>
  <c r="M23" i="2067"/>
  <c r="K23" i="2067"/>
  <c r="AF22" i="2067"/>
  <c r="AB22" i="2067"/>
  <c r="Q22" i="2067"/>
  <c r="P22" i="2067"/>
  <c r="AC22" i="2067" s="1"/>
  <c r="O22" i="2067"/>
  <c r="M22" i="2067"/>
  <c r="K22" i="2067"/>
  <c r="AF21" i="2067"/>
  <c r="AB21" i="2067"/>
  <c r="Q21" i="2067"/>
  <c r="P21" i="2067" s="1"/>
  <c r="AC21" i="2067" s="1"/>
  <c r="O21" i="2067"/>
  <c r="M21" i="2067"/>
  <c r="AF20" i="2067"/>
  <c r="Q20" i="2067"/>
  <c r="AF19" i="2067"/>
  <c r="Q19" i="2067"/>
  <c r="P19" i="2067" s="1"/>
  <c r="AC19" i="2067" s="1"/>
  <c r="O19" i="2067"/>
  <c r="AF18" i="2067"/>
  <c r="AC18" i="2067"/>
  <c r="AB18" i="2067"/>
  <c r="Q18" i="2067"/>
  <c r="P18" i="2067"/>
  <c r="O18" i="2067"/>
  <c r="M18" i="2067"/>
  <c r="K18" i="2067"/>
  <c r="AF17" i="2067"/>
  <c r="Q17" i="2067"/>
  <c r="AF16" i="2067"/>
  <c r="AB16" i="2067"/>
  <c r="Q16" i="2067"/>
  <c r="P16" i="2067"/>
  <c r="AC16" i="2067" s="1"/>
  <c r="AD16" i="2067" s="1"/>
  <c r="O16" i="2067"/>
  <c r="M16" i="2067"/>
  <c r="K16" i="2067"/>
  <c r="AF15" i="2067"/>
  <c r="AB15" i="2067"/>
  <c r="Q15" i="2067"/>
  <c r="P15" i="2067"/>
  <c r="AC15" i="2067" s="1"/>
  <c r="AD15" i="2067" s="1"/>
  <c r="O15" i="2067"/>
  <c r="M15" i="2067"/>
  <c r="K15" i="2067"/>
  <c r="AF14" i="2067"/>
  <c r="Q14" i="2067"/>
  <c r="P14" i="2067"/>
  <c r="AC14" i="2067" s="1"/>
  <c r="AF13" i="2067"/>
  <c r="Q13" i="2067"/>
  <c r="O13" i="2067"/>
  <c r="AF12" i="2067"/>
  <c r="AB12" i="2067"/>
  <c r="Q12" i="2067"/>
  <c r="O12" i="2067"/>
  <c r="M12" i="2067"/>
  <c r="P12" i="2067"/>
  <c r="AC12" i="2067" s="1"/>
  <c r="AD12" i="2067" s="1"/>
  <c r="AF11" i="2067"/>
  <c r="AB11" i="2067"/>
  <c r="Q11" i="2067"/>
  <c r="P11" i="2067"/>
  <c r="AC11" i="2067" s="1"/>
  <c r="AD11" i="2067" s="1"/>
  <c r="O11" i="2067"/>
  <c r="M11" i="2067"/>
  <c r="K11" i="2067"/>
  <c r="AF10" i="2067"/>
  <c r="AB10" i="2067"/>
  <c r="Q10" i="2067"/>
  <c r="P10" i="2067"/>
  <c r="AC10" i="2067" s="1"/>
  <c r="AD10" i="2067" s="1"/>
  <c r="O10" i="2067"/>
  <c r="M10" i="2067"/>
  <c r="AF9" i="2067"/>
  <c r="AB9" i="2067"/>
  <c r="Q9" i="2067"/>
  <c r="P9" i="2067" s="1"/>
  <c r="AC9" i="2067" s="1"/>
  <c r="O9" i="2067"/>
  <c r="M9" i="2067"/>
  <c r="AF8" i="2067"/>
  <c r="Q8" i="2067"/>
  <c r="P8" i="2067" s="1"/>
  <c r="AC8" i="2067" s="1"/>
  <c r="O8" i="2067"/>
  <c r="AF7" i="2067"/>
  <c r="AB7" i="2067"/>
  <c r="Q7" i="2067"/>
  <c r="P7" i="2067" s="1"/>
  <c r="AC7" i="2067" s="1"/>
  <c r="O7" i="2067"/>
  <c r="M7" i="2067"/>
  <c r="AF6" i="2067"/>
  <c r="Q6" i="2067"/>
  <c r="AE8" i="2066"/>
  <c r="AE9" i="2066"/>
  <c r="AD29" i="2070" l="1"/>
  <c r="K25" i="2069"/>
  <c r="AD24" i="2069"/>
  <c r="AD21" i="2069"/>
  <c r="K6" i="2069"/>
  <c r="AD15" i="2069"/>
  <c r="AF70" i="2069"/>
  <c r="AD13" i="2069"/>
  <c r="AD12" i="2069"/>
  <c r="AD11" i="2069"/>
  <c r="AD10" i="2069"/>
  <c r="P26" i="2069"/>
  <c r="AC26" i="2069" s="1"/>
  <c r="AD26" i="2069" s="1"/>
  <c r="Q29" i="2069"/>
  <c r="AD7" i="2069"/>
  <c r="AD20" i="2069"/>
  <c r="AD23" i="2069"/>
  <c r="AD8" i="2069"/>
  <c r="AD16" i="2069"/>
  <c r="AD22" i="2069"/>
  <c r="AD17" i="2069"/>
  <c r="AD27" i="2069"/>
  <c r="AB9" i="2069"/>
  <c r="M6" i="2069"/>
  <c r="AB6" i="2069"/>
  <c r="AD6" i="2069" s="1"/>
  <c r="O9" i="2069"/>
  <c r="M14" i="2069"/>
  <c r="AB14" i="2069"/>
  <c r="AD14" i="2069" s="1"/>
  <c r="O25" i="2069"/>
  <c r="M28" i="2069"/>
  <c r="AB28" i="2069"/>
  <c r="AD28" i="2069" s="1"/>
  <c r="L29" i="2069"/>
  <c r="O29" i="2069" s="1"/>
  <c r="M9" i="2069"/>
  <c r="K29" i="2069"/>
  <c r="P25" i="2069"/>
  <c r="AC25" i="2069" s="1"/>
  <c r="M27" i="2069"/>
  <c r="M25" i="2069"/>
  <c r="O24" i="2068"/>
  <c r="P24" i="2068"/>
  <c r="AC24" i="2068" s="1"/>
  <c r="AD24" i="2068" s="1"/>
  <c r="AD18" i="2068"/>
  <c r="AD14" i="2068"/>
  <c r="M9" i="2068"/>
  <c r="AD9" i="2068"/>
  <c r="AD21" i="2068"/>
  <c r="AD25" i="2068"/>
  <c r="AF69" i="2068"/>
  <c r="AD17" i="2068"/>
  <c r="AD23" i="2068"/>
  <c r="AD27" i="2068"/>
  <c r="Q28" i="2068"/>
  <c r="P6" i="2068"/>
  <c r="AD13" i="2068"/>
  <c r="AD8" i="2068"/>
  <c r="AD20" i="2068"/>
  <c r="AD11" i="2068"/>
  <c r="AD15" i="2068"/>
  <c r="AC6" i="2068"/>
  <c r="O16" i="2068"/>
  <c r="L28" i="2068"/>
  <c r="O28" i="2068" s="1"/>
  <c r="M6" i="2068"/>
  <c r="AB6" i="2068"/>
  <c r="M12" i="2068"/>
  <c r="AB12" i="2068"/>
  <c r="AD12" i="2068" s="1"/>
  <c r="P16" i="2068"/>
  <c r="AC16" i="2068" s="1"/>
  <c r="P19" i="2068"/>
  <c r="AC19" i="2068" s="1"/>
  <c r="AD19" i="2068" s="1"/>
  <c r="K28" i="2068"/>
  <c r="M16" i="2068"/>
  <c r="M19" i="2068"/>
  <c r="AB20" i="2067"/>
  <c r="O14" i="2067"/>
  <c r="P13" i="2067"/>
  <c r="AC13" i="2067" s="1"/>
  <c r="AD13" i="2067" s="1"/>
  <c r="M13" i="2067"/>
  <c r="M8" i="2067"/>
  <c r="Q29" i="2067"/>
  <c r="AD7" i="2067"/>
  <c r="AD8" i="2067"/>
  <c r="AD18" i="2067"/>
  <c r="AD21" i="2067"/>
  <c r="AD9" i="2067"/>
  <c r="AD22" i="2067"/>
  <c r="O6" i="2067"/>
  <c r="M14" i="2067"/>
  <c r="AB14" i="2067"/>
  <c r="O17" i="2067"/>
  <c r="M19" i="2067"/>
  <c r="AB19" i="2067"/>
  <c r="AD19" i="2067" s="1"/>
  <c r="O20" i="2067"/>
  <c r="L29" i="2067"/>
  <c r="O29" i="2067" s="1"/>
  <c r="P6" i="2067"/>
  <c r="P17" i="2067"/>
  <c r="AC17" i="2067" s="1"/>
  <c r="P20" i="2067"/>
  <c r="AC20" i="2067" s="1"/>
  <c r="M6" i="2067"/>
  <c r="M17" i="2067"/>
  <c r="M20" i="2067"/>
  <c r="W25" i="16"/>
  <c r="W24" i="16"/>
  <c r="W23" i="16"/>
  <c r="W22" i="16"/>
  <c r="W21" i="16"/>
  <c r="W20" i="16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1" i="2066"/>
  <c r="AB21" i="2066" s="1"/>
  <c r="L20" i="2066"/>
  <c r="K20" i="2066" s="1"/>
  <c r="L19" i="2066"/>
  <c r="K19" i="2066"/>
  <c r="L17" i="2066"/>
  <c r="K17" i="2066"/>
  <c r="L14" i="2066"/>
  <c r="K14" i="2066" s="1"/>
  <c r="L13" i="2066"/>
  <c r="O13" i="2066" s="1"/>
  <c r="L12" i="2066"/>
  <c r="M12" i="2066" s="1"/>
  <c r="L10" i="2066"/>
  <c r="O10" i="2066" s="1"/>
  <c r="K10" i="2066"/>
  <c r="AF9" i="2066"/>
  <c r="AB9" i="2066"/>
  <c r="Q9" i="2066"/>
  <c r="P9" i="2066" s="1"/>
  <c r="AC9" i="2066" s="1"/>
  <c r="O9" i="2066"/>
  <c r="M9" i="2066"/>
  <c r="K9" i="2066"/>
  <c r="AF8" i="2066"/>
  <c r="AB8" i="2066"/>
  <c r="Q8" i="2066"/>
  <c r="P8" i="2066" s="1"/>
  <c r="AC8" i="2066" s="1"/>
  <c r="O8" i="2066"/>
  <c r="M8" i="2066"/>
  <c r="K8" i="2066"/>
  <c r="L7" i="2066"/>
  <c r="K7" i="2066" s="1"/>
  <c r="L6" i="2066"/>
  <c r="K6" i="2066" s="1"/>
  <c r="K22" i="2066"/>
  <c r="K21" i="2066"/>
  <c r="K15" i="2066"/>
  <c r="K13" i="2066"/>
  <c r="K12" i="2066"/>
  <c r="A84" i="2066"/>
  <c r="A85" i="2066" s="1"/>
  <c r="A86" i="2066" s="1"/>
  <c r="A87" i="2066" s="1"/>
  <c r="A88" i="2066" s="1"/>
  <c r="A89" i="2066" s="1"/>
  <c r="AF68" i="2066"/>
  <c r="AF70" i="2066" s="1"/>
  <c r="AF67" i="2066"/>
  <c r="AA29" i="2066"/>
  <c r="Z29" i="2066"/>
  <c r="Y29" i="2066"/>
  <c r="X29" i="2066"/>
  <c r="W29" i="2066"/>
  <c r="V29" i="2066"/>
  <c r="U29" i="2066"/>
  <c r="T29" i="2066"/>
  <c r="S29" i="2066"/>
  <c r="R29" i="2066"/>
  <c r="N29" i="2066"/>
  <c r="J29" i="2066"/>
  <c r="I29" i="2066"/>
  <c r="AF28" i="2066"/>
  <c r="AB28" i="2066"/>
  <c r="Q28" i="2066"/>
  <c r="P28" i="2066"/>
  <c r="AC28" i="2066" s="1"/>
  <c r="O28" i="2066"/>
  <c r="M28" i="2066"/>
  <c r="K28" i="2066"/>
  <c r="AF27" i="2066"/>
  <c r="AB27" i="2066"/>
  <c r="Q27" i="2066"/>
  <c r="P27" i="2066"/>
  <c r="AC27" i="2066" s="1"/>
  <c r="O27" i="2066"/>
  <c r="M27" i="2066"/>
  <c r="K27" i="2066"/>
  <c r="AF26" i="2066"/>
  <c r="AB26" i="2066"/>
  <c r="Q26" i="2066"/>
  <c r="P26" i="2066"/>
  <c r="AC26" i="2066" s="1"/>
  <c r="AD26" i="2066" s="1"/>
  <c r="O26" i="2066"/>
  <c r="M26" i="2066"/>
  <c r="K26" i="2066"/>
  <c r="AF25" i="2066"/>
  <c r="AB25" i="2066"/>
  <c r="Q25" i="2066"/>
  <c r="P25" i="2066"/>
  <c r="AC25" i="2066" s="1"/>
  <c r="O25" i="2066"/>
  <c r="M25" i="2066"/>
  <c r="K25" i="2066"/>
  <c r="AF24" i="2066"/>
  <c r="AB24" i="2066"/>
  <c r="Q24" i="2066"/>
  <c r="P24" i="2066"/>
  <c r="AC24" i="2066" s="1"/>
  <c r="AD24" i="2066" s="1"/>
  <c r="O24" i="2066"/>
  <c r="M24" i="2066"/>
  <c r="K24" i="2066"/>
  <c r="AF23" i="2066"/>
  <c r="AB23" i="2066"/>
  <c r="Q23" i="2066"/>
  <c r="P23" i="2066"/>
  <c r="AC23" i="2066" s="1"/>
  <c r="O23" i="2066"/>
  <c r="M23" i="2066"/>
  <c r="K23" i="2066"/>
  <c r="AF22" i="2066"/>
  <c r="AB22" i="2066"/>
  <c r="Q22" i="2066"/>
  <c r="P22" i="2066"/>
  <c r="AC22" i="2066" s="1"/>
  <c r="O22" i="2066"/>
  <c r="M22" i="2066"/>
  <c r="AF21" i="2066"/>
  <c r="Q21" i="2066"/>
  <c r="M21" i="2066"/>
  <c r="P21" i="2066"/>
  <c r="AC21" i="2066" s="1"/>
  <c r="AF20" i="2066"/>
  <c r="Q20" i="2066"/>
  <c r="O20" i="2066"/>
  <c r="AF19" i="2066"/>
  <c r="Q19" i="2066"/>
  <c r="O19" i="2066"/>
  <c r="AB19" i="2066"/>
  <c r="AF18" i="2066"/>
  <c r="AB18" i="2066"/>
  <c r="Q18" i="2066"/>
  <c r="P18" i="2066"/>
  <c r="AC18" i="2066" s="1"/>
  <c r="AD18" i="2066" s="1"/>
  <c r="O18" i="2066"/>
  <c r="M18" i="2066"/>
  <c r="K18" i="2066"/>
  <c r="AF17" i="2066"/>
  <c r="Q17" i="2066"/>
  <c r="O17" i="2066"/>
  <c r="AF16" i="2066"/>
  <c r="AB16" i="2066"/>
  <c r="Q16" i="2066"/>
  <c r="P16" i="2066"/>
  <c r="AC16" i="2066" s="1"/>
  <c r="O16" i="2066"/>
  <c r="M16" i="2066"/>
  <c r="K16" i="2066"/>
  <c r="AF15" i="2066"/>
  <c r="AB15" i="2066"/>
  <c r="Q15" i="2066"/>
  <c r="P15" i="2066" s="1"/>
  <c r="AC15" i="2066" s="1"/>
  <c r="O15" i="2066"/>
  <c r="M15" i="2066"/>
  <c r="AF14" i="2066"/>
  <c r="Q14" i="2066"/>
  <c r="P14" i="2066" s="1"/>
  <c r="AC14" i="2066" s="1"/>
  <c r="AF13" i="2066"/>
  <c r="AB13" i="2066"/>
  <c r="Q13" i="2066"/>
  <c r="P13" i="2066"/>
  <c r="AC13" i="2066" s="1"/>
  <c r="M13" i="2066"/>
  <c r="AF12" i="2066"/>
  <c r="AB12" i="2066"/>
  <c r="Q12" i="2066"/>
  <c r="P12" i="2066" s="1"/>
  <c r="AC12" i="2066" s="1"/>
  <c r="AF11" i="2066"/>
  <c r="AB11" i="2066"/>
  <c r="Q11" i="2066"/>
  <c r="P11" i="2066"/>
  <c r="AC11" i="2066" s="1"/>
  <c r="O11" i="2066"/>
  <c r="M11" i="2066"/>
  <c r="K11" i="2066"/>
  <c r="AF10" i="2066"/>
  <c r="AB10" i="2066"/>
  <c r="Q10" i="2066"/>
  <c r="P10" i="2066" s="1"/>
  <c r="AC10" i="2066" s="1"/>
  <c r="M10" i="2066"/>
  <c r="AF7" i="2066"/>
  <c r="AB7" i="2066"/>
  <c r="Q7" i="2066"/>
  <c r="P7" i="2066" s="1"/>
  <c r="AC7" i="2066" s="1"/>
  <c r="AD7" i="2066" s="1"/>
  <c r="O7" i="2066"/>
  <c r="M7" i="2066"/>
  <c r="AF6" i="2066"/>
  <c r="Q6" i="2066"/>
  <c r="M6" i="2066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1" i="2065"/>
  <c r="L20" i="2065"/>
  <c r="L19" i="2065"/>
  <c r="K19" i="2065"/>
  <c r="L18" i="2065"/>
  <c r="K18" i="2065" s="1"/>
  <c r="L16" i="2065"/>
  <c r="K14" i="2065"/>
  <c r="L13" i="2065"/>
  <c r="O13" i="2065" s="1"/>
  <c r="L12" i="2065"/>
  <c r="K12" i="2065" s="1"/>
  <c r="L11" i="2065"/>
  <c r="K11" i="2065" s="1"/>
  <c r="L7" i="2065"/>
  <c r="M7" i="2065" s="1"/>
  <c r="K7" i="2065"/>
  <c r="L6" i="2065"/>
  <c r="K6" i="2065" s="1"/>
  <c r="K21" i="2065"/>
  <c r="K20" i="2065"/>
  <c r="K17" i="2065"/>
  <c r="K16" i="2065"/>
  <c r="K9" i="2065"/>
  <c r="K8" i="2065"/>
  <c r="A83" i="2065"/>
  <c r="A84" i="2065" s="1"/>
  <c r="A85" i="2065" s="1"/>
  <c r="A86" i="2065" s="1"/>
  <c r="A87" i="2065" s="1"/>
  <c r="A88" i="2065" s="1"/>
  <c r="AF67" i="2065"/>
  <c r="AF66" i="2065"/>
  <c r="AF69" i="2065" s="1"/>
  <c r="AA28" i="2065"/>
  <c r="Z28" i="2065"/>
  <c r="Y28" i="2065"/>
  <c r="X28" i="2065"/>
  <c r="W28" i="2065"/>
  <c r="V28" i="2065"/>
  <c r="U28" i="2065"/>
  <c r="T28" i="2065"/>
  <c r="S28" i="2065"/>
  <c r="R28" i="2065"/>
  <c r="N28" i="2065"/>
  <c r="J28" i="2065"/>
  <c r="I28" i="2065"/>
  <c r="AF27" i="2065"/>
  <c r="AB27" i="2065"/>
  <c r="Q27" i="2065"/>
  <c r="P27" i="2065"/>
  <c r="AC27" i="2065" s="1"/>
  <c r="AD27" i="2065" s="1"/>
  <c r="O27" i="2065"/>
  <c r="M27" i="2065"/>
  <c r="K27" i="2065"/>
  <c r="AF26" i="2065"/>
  <c r="AB26" i="2065"/>
  <c r="Q26" i="2065"/>
  <c r="P26" i="2065"/>
  <c r="AC26" i="2065" s="1"/>
  <c r="AD26" i="2065" s="1"/>
  <c r="O26" i="2065"/>
  <c r="M26" i="2065"/>
  <c r="K26" i="2065"/>
  <c r="AF25" i="2065"/>
  <c r="AB25" i="2065"/>
  <c r="Q25" i="2065"/>
  <c r="P25" i="2065"/>
  <c r="AC25" i="2065" s="1"/>
  <c r="AD25" i="2065" s="1"/>
  <c r="O25" i="2065"/>
  <c r="M25" i="2065"/>
  <c r="K25" i="2065"/>
  <c r="AF24" i="2065"/>
  <c r="AB24" i="2065"/>
  <c r="Q24" i="2065"/>
  <c r="P24" i="2065"/>
  <c r="AC24" i="2065" s="1"/>
  <c r="AD24" i="2065" s="1"/>
  <c r="O24" i="2065"/>
  <c r="M24" i="2065"/>
  <c r="K24" i="2065"/>
  <c r="AF23" i="2065"/>
  <c r="AB23" i="2065"/>
  <c r="Q23" i="2065"/>
  <c r="P23" i="2065"/>
  <c r="AC23" i="2065" s="1"/>
  <c r="AD23" i="2065" s="1"/>
  <c r="O23" i="2065"/>
  <c r="M23" i="2065"/>
  <c r="K23" i="2065"/>
  <c r="AF22" i="2065"/>
  <c r="AB22" i="2065"/>
  <c r="Q22" i="2065"/>
  <c r="P22" i="2065"/>
  <c r="AC22" i="2065" s="1"/>
  <c r="AD22" i="2065" s="1"/>
  <c r="O22" i="2065"/>
  <c r="M22" i="2065"/>
  <c r="K22" i="2065"/>
  <c r="AF21" i="2065"/>
  <c r="AB21" i="2065"/>
  <c r="Q21" i="2065"/>
  <c r="P21" i="2065" s="1"/>
  <c r="AC21" i="2065" s="1"/>
  <c r="O21" i="2065"/>
  <c r="M21" i="2065"/>
  <c r="AF20" i="2065"/>
  <c r="Q20" i="2065"/>
  <c r="P20" i="2065" s="1"/>
  <c r="AC20" i="2065" s="1"/>
  <c r="AF19" i="2065"/>
  <c r="AB19" i="2065"/>
  <c r="Q19" i="2065"/>
  <c r="P19" i="2065" s="1"/>
  <c r="AC19" i="2065" s="1"/>
  <c r="O19" i="2065"/>
  <c r="M19" i="2065"/>
  <c r="AF18" i="2065"/>
  <c r="AB18" i="2065"/>
  <c r="Q18" i="2065"/>
  <c r="P18" i="2065" s="1"/>
  <c r="AC18" i="2065" s="1"/>
  <c r="O18" i="2065"/>
  <c r="M18" i="2065"/>
  <c r="AF17" i="2065"/>
  <c r="Q17" i="2065"/>
  <c r="P17" i="2065"/>
  <c r="AC17" i="2065" s="1"/>
  <c r="AF16" i="2065"/>
  <c r="Q16" i="2065"/>
  <c r="P16" i="2065" s="1"/>
  <c r="AC16" i="2065" s="1"/>
  <c r="M16" i="2065"/>
  <c r="O16" i="2065"/>
  <c r="AF15" i="2065"/>
  <c r="AB15" i="2065"/>
  <c r="Q15" i="2065"/>
  <c r="P15" i="2065"/>
  <c r="AC15" i="2065" s="1"/>
  <c r="AD15" i="2065" s="1"/>
  <c r="O15" i="2065"/>
  <c r="M15" i="2065"/>
  <c r="K15" i="2065"/>
  <c r="AF14" i="2065"/>
  <c r="AB14" i="2065"/>
  <c r="Q14" i="2065"/>
  <c r="P14" i="2065" s="1"/>
  <c r="AC14" i="2065" s="1"/>
  <c r="AD14" i="2065" s="1"/>
  <c r="O14" i="2065"/>
  <c r="M14" i="2065"/>
  <c r="AF13" i="2065"/>
  <c r="Q13" i="2065"/>
  <c r="AF12" i="2065"/>
  <c r="AB12" i="2065"/>
  <c r="Q12" i="2065"/>
  <c r="P12" i="2065"/>
  <c r="AC12" i="2065" s="1"/>
  <c r="O12" i="2065"/>
  <c r="M12" i="2065"/>
  <c r="AF11" i="2065"/>
  <c r="AB11" i="2065"/>
  <c r="Q11" i="2065"/>
  <c r="P11" i="2065"/>
  <c r="AC11" i="2065" s="1"/>
  <c r="O11" i="2065"/>
  <c r="M11" i="2065"/>
  <c r="AF10" i="2065"/>
  <c r="AB10" i="2065"/>
  <c r="Q10" i="2065"/>
  <c r="P10" i="2065"/>
  <c r="AC10" i="2065" s="1"/>
  <c r="AD10" i="2065" s="1"/>
  <c r="O10" i="2065"/>
  <c r="M10" i="2065"/>
  <c r="K10" i="2065"/>
  <c r="AF9" i="2065"/>
  <c r="Q9" i="2065"/>
  <c r="O9" i="2065"/>
  <c r="P9" i="2065"/>
  <c r="AC9" i="2065" s="1"/>
  <c r="AF8" i="2065"/>
  <c r="AB8" i="2065"/>
  <c r="Q8" i="2065"/>
  <c r="P8" i="2065"/>
  <c r="AC8" i="2065" s="1"/>
  <c r="M8" i="2065"/>
  <c r="O8" i="2065"/>
  <c r="AF7" i="2065"/>
  <c r="AB7" i="2065"/>
  <c r="Q7" i="2065"/>
  <c r="AF6" i="2065"/>
  <c r="Q6" i="2065"/>
  <c r="O6" i="2065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2064"/>
  <c r="L20" i="2064"/>
  <c r="L18" i="2064"/>
  <c r="K18" i="2064" s="1"/>
  <c r="L17" i="2064"/>
  <c r="K17" i="2064" s="1"/>
  <c r="L16" i="2064"/>
  <c r="K16" i="2064" s="1"/>
  <c r="L13" i="2064"/>
  <c r="L12" i="2064"/>
  <c r="K12" i="2064" s="1"/>
  <c r="L9" i="2064"/>
  <c r="L8" i="2064"/>
  <c r="K8" i="2064" s="1"/>
  <c r="AE9" i="2070" l="1"/>
  <c r="AE28" i="2070"/>
  <c r="AE24" i="2070"/>
  <c r="AE22" i="2070"/>
  <c r="AE20" i="2070"/>
  <c r="AE17" i="2070"/>
  <c r="AE14" i="2070"/>
  <c r="AE10" i="2070"/>
  <c r="AE6" i="2070"/>
  <c r="AE25" i="2070"/>
  <c r="AE15" i="2070"/>
  <c r="AE11" i="2070"/>
  <c r="AE21" i="2070"/>
  <c r="AE18" i="2070"/>
  <c r="AE12" i="2070"/>
  <c r="AE7" i="2070"/>
  <c r="AE26" i="2070"/>
  <c r="AE23" i="2070"/>
  <c r="AE27" i="2070"/>
  <c r="AE19" i="2070"/>
  <c r="AE16" i="2070"/>
  <c r="AE13" i="2070"/>
  <c r="AE8" i="2070"/>
  <c r="AD25" i="2069"/>
  <c r="AD9" i="2069"/>
  <c r="P29" i="2069"/>
  <c r="AB29" i="2069"/>
  <c r="AC29" i="2069"/>
  <c r="M29" i="2069"/>
  <c r="AD16" i="2068"/>
  <c r="AD6" i="2068"/>
  <c r="AC28" i="2068"/>
  <c r="AB28" i="2068"/>
  <c r="M28" i="2068"/>
  <c r="P28" i="2068"/>
  <c r="AD20" i="2067"/>
  <c r="M29" i="2067"/>
  <c r="AD14" i="2067"/>
  <c r="P29" i="2067"/>
  <c r="AC6" i="2067"/>
  <c r="K29" i="2067"/>
  <c r="AB29" i="2067"/>
  <c r="AD17" i="2067"/>
  <c r="P19" i="2066"/>
  <c r="AC19" i="2066" s="1"/>
  <c r="AB14" i="2066"/>
  <c r="AD14" i="2066" s="1"/>
  <c r="O14" i="2066"/>
  <c r="AD28" i="2066"/>
  <c r="AD9" i="2066"/>
  <c r="AD27" i="2066"/>
  <c r="AD8" i="2066"/>
  <c r="Q29" i="2066"/>
  <c r="AD13" i="2066"/>
  <c r="AD25" i="2066"/>
  <c r="AD11" i="2066"/>
  <c r="AD23" i="2066"/>
  <c r="AD10" i="2066"/>
  <c r="AD22" i="2066"/>
  <c r="P6" i="2066"/>
  <c r="AC6" i="2066" s="1"/>
  <c r="AB6" i="2066"/>
  <c r="AD16" i="2066"/>
  <c r="AD15" i="2066"/>
  <c r="AD19" i="2066"/>
  <c r="P17" i="2066"/>
  <c r="AC17" i="2066" s="1"/>
  <c r="P20" i="2066"/>
  <c r="AC20" i="2066" s="1"/>
  <c r="L29" i="2066"/>
  <c r="O29" i="2066" s="1"/>
  <c r="O6" i="2066"/>
  <c r="AB17" i="2066"/>
  <c r="AB20" i="2066"/>
  <c r="O12" i="2066"/>
  <c r="AD12" i="2066" s="1"/>
  <c r="M17" i="2066"/>
  <c r="M20" i="2066"/>
  <c r="O21" i="2066"/>
  <c r="AD21" i="2066" s="1"/>
  <c r="M14" i="2066"/>
  <c r="M19" i="2066"/>
  <c r="AD21" i="2065"/>
  <c r="AB13" i="2065"/>
  <c r="K13" i="2065"/>
  <c r="AD11" i="2065"/>
  <c r="Q28" i="2065"/>
  <c r="O7" i="2065"/>
  <c r="P7" i="2065"/>
  <c r="AC7" i="2065" s="1"/>
  <c r="AD7" i="2065" s="1"/>
  <c r="P6" i="2065"/>
  <c r="AC6" i="2065" s="1"/>
  <c r="AD12" i="2065"/>
  <c r="AD19" i="2065"/>
  <c r="AD18" i="2065"/>
  <c r="AD8" i="2065"/>
  <c r="L28" i="2065"/>
  <c r="O28" i="2065" s="1"/>
  <c r="M6" i="2065"/>
  <c r="AB6" i="2065"/>
  <c r="M9" i="2065"/>
  <c r="AB9" i="2065"/>
  <c r="AD9" i="2065" s="1"/>
  <c r="P13" i="2065"/>
  <c r="AC13" i="2065" s="1"/>
  <c r="AD13" i="2065" s="1"/>
  <c r="M17" i="2065"/>
  <c r="AB17" i="2065"/>
  <c r="M20" i="2065"/>
  <c r="AB20" i="2065"/>
  <c r="AB16" i="2065"/>
  <c r="AD16" i="2065" s="1"/>
  <c r="O17" i="2065"/>
  <c r="O20" i="2065"/>
  <c r="M13" i="2065"/>
  <c r="K7" i="2064"/>
  <c r="L6" i="2064"/>
  <c r="K20" i="2064"/>
  <c r="K13" i="2064"/>
  <c r="K9" i="2064"/>
  <c r="K6" i="2064"/>
  <c r="A83" i="2064"/>
  <c r="A84" i="2064" s="1"/>
  <c r="A85" i="2064" s="1"/>
  <c r="A86" i="2064" s="1"/>
  <c r="A87" i="2064" s="1"/>
  <c r="A88" i="2064" s="1"/>
  <c r="AF67" i="2064"/>
  <c r="AF66" i="2064"/>
  <c r="AF69" i="2064" s="1"/>
  <c r="AA28" i="2064"/>
  <c r="Z28" i="2064"/>
  <c r="Y28" i="2064"/>
  <c r="X28" i="2064"/>
  <c r="W28" i="2064"/>
  <c r="V28" i="2064"/>
  <c r="U28" i="2064"/>
  <c r="T28" i="2064"/>
  <c r="S28" i="2064"/>
  <c r="R28" i="2064"/>
  <c r="N28" i="2064"/>
  <c r="J28" i="2064"/>
  <c r="I28" i="2064"/>
  <c r="AF27" i="2064"/>
  <c r="AB27" i="2064"/>
  <c r="Q27" i="2064"/>
  <c r="P27" i="2064"/>
  <c r="AC27" i="2064" s="1"/>
  <c r="AD27" i="2064" s="1"/>
  <c r="O27" i="2064"/>
  <c r="M27" i="2064"/>
  <c r="K27" i="2064"/>
  <c r="AF26" i="2064"/>
  <c r="AB26" i="2064"/>
  <c r="Q26" i="2064"/>
  <c r="P26" i="2064"/>
  <c r="AC26" i="2064" s="1"/>
  <c r="O26" i="2064"/>
  <c r="M26" i="2064"/>
  <c r="K26" i="2064"/>
  <c r="AF25" i="2064"/>
  <c r="AC25" i="2064"/>
  <c r="AD25" i="2064" s="1"/>
  <c r="AB25" i="2064"/>
  <c r="Q25" i="2064"/>
  <c r="P25" i="2064"/>
  <c r="O25" i="2064"/>
  <c r="M25" i="2064"/>
  <c r="K25" i="2064"/>
  <c r="AF24" i="2064"/>
  <c r="AC24" i="2064"/>
  <c r="AB24" i="2064"/>
  <c r="Q24" i="2064"/>
  <c r="P24" i="2064"/>
  <c r="O24" i="2064"/>
  <c r="M24" i="2064"/>
  <c r="K24" i="2064"/>
  <c r="AF23" i="2064"/>
  <c r="AC23" i="2064"/>
  <c r="AD23" i="2064" s="1"/>
  <c r="AB23" i="2064"/>
  <c r="Q23" i="2064"/>
  <c r="P23" i="2064"/>
  <c r="O23" i="2064"/>
  <c r="M23" i="2064"/>
  <c r="K23" i="2064"/>
  <c r="AF22" i="2064"/>
  <c r="AC22" i="2064"/>
  <c r="AB22" i="2064"/>
  <c r="Q22" i="2064"/>
  <c r="P22" i="2064"/>
  <c r="O22" i="2064"/>
  <c r="M22" i="2064"/>
  <c r="K22" i="2064"/>
  <c r="AF21" i="2064"/>
  <c r="AB21" i="2064"/>
  <c r="Q21" i="2064"/>
  <c r="P21" i="2064"/>
  <c r="AC21" i="2064" s="1"/>
  <c r="O21" i="2064"/>
  <c r="M21" i="2064"/>
  <c r="K21" i="2064"/>
  <c r="AF20" i="2064"/>
  <c r="Q20" i="2064"/>
  <c r="O20" i="2064"/>
  <c r="AF19" i="2064"/>
  <c r="AB19" i="2064"/>
  <c r="Q19" i="2064"/>
  <c r="P19" i="2064"/>
  <c r="AC19" i="2064" s="1"/>
  <c r="O19" i="2064"/>
  <c r="M19" i="2064"/>
  <c r="K19" i="2064"/>
  <c r="AF18" i="2064"/>
  <c r="AB18" i="2064"/>
  <c r="Q18" i="2064"/>
  <c r="P18" i="2064"/>
  <c r="AC18" i="2064" s="1"/>
  <c r="O18" i="2064"/>
  <c r="M18" i="2064"/>
  <c r="AF17" i="2064"/>
  <c r="AB17" i="2064"/>
  <c r="Q17" i="2064"/>
  <c r="P17" i="2064" s="1"/>
  <c r="AC17" i="2064" s="1"/>
  <c r="M17" i="2064"/>
  <c r="O17" i="2064"/>
  <c r="AF16" i="2064"/>
  <c r="AB16" i="2064"/>
  <c r="Q16" i="2064"/>
  <c r="P16" i="2064" s="1"/>
  <c r="AC16" i="2064" s="1"/>
  <c r="O16" i="2064"/>
  <c r="M16" i="2064"/>
  <c r="AF15" i="2064"/>
  <c r="AC15" i="2064"/>
  <c r="AB15" i="2064"/>
  <c r="Q15" i="2064"/>
  <c r="P15" i="2064"/>
  <c r="O15" i="2064"/>
  <c r="M15" i="2064"/>
  <c r="K15" i="2064"/>
  <c r="AF14" i="2064"/>
  <c r="AC14" i="2064"/>
  <c r="AB14" i="2064"/>
  <c r="Q14" i="2064"/>
  <c r="P14" i="2064"/>
  <c r="O14" i="2064"/>
  <c r="M14" i="2064"/>
  <c r="K14" i="2064"/>
  <c r="AF13" i="2064"/>
  <c r="Q13" i="2064"/>
  <c r="O13" i="2064"/>
  <c r="AB13" i="2064"/>
  <c r="AF12" i="2064"/>
  <c r="AB12" i="2064"/>
  <c r="Q12" i="2064"/>
  <c r="P12" i="2064"/>
  <c r="AC12" i="2064" s="1"/>
  <c r="O12" i="2064"/>
  <c r="M12" i="2064"/>
  <c r="AF11" i="2064"/>
  <c r="AB11" i="2064"/>
  <c r="Q11" i="2064"/>
  <c r="P11" i="2064"/>
  <c r="AC11" i="2064" s="1"/>
  <c r="O11" i="2064"/>
  <c r="M11" i="2064"/>
  <c r="K11" i="2064"/>
  <c r="AF10" i="2064"/>
  <c r="AB10" i="2064"/>
  <c r="Q10" i="2064"/>
  <c r="P10" i="2064"/>
  <c r="AC10" i="2064" s="1"/>
  <c r="O10" i="2064"/>
  <c r="M10" i="2064"/>
  <c r="K10" i="2064"/>
  <c r="AF9" i="2064"/>
  <c r="AB9" i="2064"/>
  <c r="Q9" i="2064"/>
  <c r="P9" i="2064" s="1"/>
  <c r="AC9" i="2064" s="1"/>
  <c r="O9" i="2064"/>
  <c r="M9" i="2064"/>
  <c r="AF8" i="2064"/>
  <c r="AB8" i="2064"/>
  <c r="Q8" i="2064"/>
  <c r="P8" i="2064" s="1"/>
  <c r="AC8" i="2064" s="1"/>
  <c r="O8" i="2064"/>
  <c r="M8" i="2064"/>
  <c r="AF7" i="2064"/>
  <c r="Q7" i="2064"/>
  <c r="O7" i="2064"/>
  <c r="AB7" i="2064"/>
  <c r="AF6" i="2064"/>
  <c r="AB6" i="2064"/>
  <c r="Q6" i="2064"/>
  <c r="M6" i="2064"/>
  <c r="L28" i="2064"/>
  <c r="O28" i="2064" s="1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1" i="2063"/>
  <c r="L18" i="2063"/>
  <c r="K18" i="2063"/>
  <c r="L14" i="2063"/>
  <c r="L10" i="2063"/>
  <c r="K10" i="2063"/>
  <c r="AF9" i="2063"/>
  <c r="AB9" i="2063"/>
  <c r="Q9" i="2063"/>
  <c r="P9" i="2063" s="1"/>
  <c r="AC9" i="2063" s="1"/>
  <c r="AD9" i="2063" s="1"/>
  <c r="O9" i="2063"/>
  <c r="M9" i="2063"/>
  <c r="K9" i="2063"/>
  <c r="K8" i="2063"/>
  <c r="L7" i="2063"/>
  <c r="K7" i="2063" s="1"/>
  <c r="L6" i="2063"/>
  <c r="K6" i="2063" s="1"/>
  <c r="K21" i="2063"/>
  <c r="K20" i="2063"/>
  <c r="K19" i="2063"/>
  <c r="K17" i="2063"/>
  <c r="K14" i="2063"/>
  <c r="K13" i="2063"/>
  <c r="A84" i="2063"/>
  <c r="A85" i="2063" s="1"/>
  <c r="A86" i="2063" s="1"/>
  <c r="A87" i="2063" s="1"/>
  <c r="A88" i="2063" s="1"/>
  <c r="A89" i="2063" s="1"/>
  <c r="AF68" i="2063"/>
  <c r="AF70" i="2063" s="1"/>
  <c r="AF67" i="2063"/>
  <c r="AA29" i="2063"/>
  <c r="Z29" i="2063"/>
  <c r="Y29" i="2063"/>
  <c r="X29" i="2063"/>
  <c r="W29" i="2063"/>
  <c r="V29" i="2063"/>
  <c r="U29" i="2063"/>
  <c r="T29" i="2063"/>
  <c r="S29" i="2063"/>
  <c r="R29" i="2063"/>
  <c r="N29" i="2063"/>
  <c r="J29" i="2063"/>
  <c r="I29" i="2063"/>
  <c r="AF28" i="2063"/>
  <c r="AC28" i="2063"/>
  <c r="AB28" i="2063"/>
  <c r="Q28" i="2063"/>
  <c r="P28" i="2063"/>
  <c r="O28" i="2063"/>
  <c r="M28" i="2063"/>
  <c r="K28" i="2063"/>
  <c r="AF27" i="2063"/>
  <c r="AB27" i="2063"/>
  <c r="Q27" i="2063"/>
  <c r="P27" i="2063"/>
  <c r="AC27" i="2063" s="1"/>
  <c r="AD27" i="2063" s="1"/>
  <c r="O27" i="2063"/>
  <c r="M27" i="2063"/>
  <c r="K27" i="2063"/>
  <c r="AF26" i="2063"/>
  <c r="AB26" i="2063"/>
  <c r="Q26" i="2063"/>
  <c r="P26" i="2063"/>
  <c r="AC26" i="2063" s="1"/>
  <c r="AD26" i="2063" s="1"/>
  <c r="O26" i="2063"/>
  <c r="M26" i="2063"/>
  <c r="K26" i="2063"/>
  <c r="AF25" i="2063"/>
  <c r="AB25" i="2063"/>
  <c r="Q25" i="2063"/>
  <c r="P25" i="2063"/>
  <c r="AC25" i="2063" s="1"/>
  <c r="O25" i="2063"/>
  <c r="M25" i="2063"/>
  <c r="K25" i="2063"/>
  <c r="AF24" i="2063"/>
  <c r="AC24" i="2063"/>
  <c r="AB24" i="2063"/>
  <c r="Q24" i="2063"/>
  <c r="P24" i="2063"/>
  <c r="O24" i="2063"/>
  <c r="M24" i="2063"/>
  <c r="K24" i="2063"/>
  <c r="AF23" i="2063"/>
  <c r="AB23" i="2063"/>
  <c r="Q23" i="2063"/>
  <c r="P23" i="2063"/>
  <c r="AC23" i="2063" s="1"/>
  <c r="O23" i="2063"/>
  <c r="M23" i="2063"/>
  <c r="K23" i="2063"/>
  <c r="AF22" i="2063"/>
  <c r="AB22" i="2063"/>
  <c r="Q22" i="2063"/>
  <c r="P22" i="2063"/>
  <c r="AC22" i="2063" s="1"/>
  <c r="O22" i="2063"/>
  <c r="M22" i="2063"/>
  <c r="K22" i="2063"/>
  <c r="AF21" i="2063"/>
  <c r="Q21" i="2063"/>
  <c r="P21" i="2063"/>
  <c r="AC21" i="2063" s="1"/>
  <c r="O21" i="2063"/>
  <c r="AF20" i="2063"/>
  <c r="Q20" i="2063"/>
  <c r="P20" i="2063"/>
  <c r="AC20" i="2063" s="1"/>
  <c r="O20" i="2063"/>
  <c r="AB20" i="2063"/>
  <c r="AF19" i="2063"/>
  <c r="AC19" i="2063"/>
  <c r="AB19" i="2063"/>
  <c r="Q19" i="2063"/>
  <c r="P19" i="2063"/>
  <c r="O19" i="2063"/>
  <c r="M19" i="2063"/>
  <c r="AF18" i="2063"/>
  <c r="Q18" i="2063"/>
  <c r="P18" i="2063" s="1"/>
  <c r="AC18" i="2063" s="1"/>
  <c r="AF17" i="2063"/>
  <c r="Q17" i="2063"/>
  <c r="P17" i="2063"/>
  <c r="AC17" i="2063" s="1"/>
  <c r="O17" i="2063"/>
  <c r="AF16" i="2063"/>
  <c r="AC16" i="2063"/>
  <c r="AB16" i="2063"/>
  <c r="Q16" i="2063"/>
  <c r="P16" i="2063"/>
  <c r="O16" i="2063"/>
  <c r="M16" i="2063"/>
  <c r="K16" i="2063"/>
  <c r="AF15" i="2063"/>
  <c r="AC15" i="2063"/>
  <c r="AB15" i="2063"/>
  <c r="Q15" i="2063"/>
  <c r="P15" i="2063"/>
  <c r="O15" i="2063"/>
  <c r="M15" i="2063"/>
  <c r="K15" i="2063"/>
  <c r="AF14" i="2063"/>
  <c r="Q14" i="2063"/>
  <c r="O14" i="2063"/>
  <c r="AB14" i="2063"/>
  <c r="AF13" i="2063"/>
  <c r="AB13" i="2063"/>
  <c r="Q13" i="2063"/>
  <c r="P13" i="2063"/>
  <c r="AC13" i="2063" s="1"/>
  <c r="O13" i="2063"/>
  <c r="M13" i="2063"/>
  <c r="AF12" i="2063"/>
  <c r="AB12" i="2063"/>
  <c r="Q12" i="2063"/>
  <c r="P12" i="2063"/>
  <c r="AC12" i="2063" s="1"/>
  <c r="O12" i="2063"/>
  <c r="M12" i="2063"/>
  <c r="K12" i="2063"/>
  <c r="AF11" i="2063"/>
  <c r="AB11" i="2063"/>
  <c r="Q11" i="2063"/>
  <c r="P11" i="2063"/>
  <c r="AC11" i="2063" s="1"/>
  <c r="O11" i="2063"/>
  <c r="M11" i="2063"/>
  <c r="K11" i="2063"/>
  <c r="AF10" i="2063"/>
  <c r="Q10" i="2063"/>
  <c r="AF8" i="2063"/>
  <c r="Q8" i="2063"/>
  <c r="P8" i="2063" s="1"/>
  <c r="AC8" i="2063" s="1"/>
  <c r="O8" i="2063"/>
  <c r="AF7" i="2063"/>
  <c r="Q7" i="2063"/>
  <c r="AB7" i="2063"/>
  <c r="AF6" i="2063"/>
  <c r="AB6" i="2063"/>
  <c r="Q6" i="2063"/>
  <c r="P6" i="2063" s="1"/>
  <c r="AC6" i="2063" s="1"/>
  <c r="M6" i="2063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0" i="2062"/>
  <c r="O20" i="2062" s="1"/>
  <c r="L19" i="2062"/>
  <c r="O19" i="2062" s="1"/>
  <c r="K19" i="2062"/>
  <c r="L18" i="2062"/>
  <c r="K18" i="2062"/>
  <c r="L17" i="2062"/>
  <c r="K17" i="2062" s="1"/>
  <c r="L16" i="2062"/>
  <c r="K16" i="2062" s="1"/>
  <c r="L13" i="2062"/>
  <c r="K13" i="2062" s="1"/>
  <c r="L12" i="2062"/>
  <c r="K12" i="2062" s="1"/>
  <c r="L9" i="2062"/>
  <c r="L8" i="2062"/>
  <c r="L7" i="2062"/>
  <c r="L6" i="2062"/>
  <c r="K6" i="2062"/>
  <c r="K20" i="2062"/>
  <c r="K11" i="2062"/>
  <c r="K9" i="2062"/>
  <c r="K8" i="2062"/>
  <c r="K7" i="2062"/>
  <c r="A83" i="2062"/>
  <c r="A84" i="2062" s="1"/>
  <c r="A85" i="2062" s="1"/>
  <c r="A86" i="2062" s="1"/>
  <c r="A87" i="2062" s="1"/>
  <c r="A88" i="2062" s="1"/>
  <c r="AF67" i="2062"/>
  <c r="AF66" i="2062"/>
  <c r="AA28" i="2062"/>
  <c r="Z28" i="2062"/>
  <c r="Y28" i="2062"/>
  <c r="X28" i="2062"/>
  <c r="W28" i="2062"/>
  <c r="V28" i="2062"/>
  <c r="U28" i="2062"/>
  <c r="T28" i="2062"/>
  <c r="S28" i="2062"/>
  <c r="R28" i="2062"/>
  <c r="N28" i="2062"/>
  <c r="J28" i="2062"/>
  <c r="I28" i="2062"/>
  <c r="AF27" i="2062"/>
  <c r="AB27" i="2062"/>
  <c r="Q27" i="2062"/>
  <c r="P27" i="2062"/>
  <c r="AC27" i="2062" s="1"/>
  <c r="AD27" i="2062" s="1"/>
  <c r="O27" i="2062"/>
  <c r="M27" i="2062"/>
  <c r="K27" i="2062"/>
  <c r="AF26" i="2062"/>
  <c r="AB26" i="2062"/>
  <c r="Q26" i="2062"/>
  <c r="P26" i="2062"/>
  <c r="AC26" i="2062" s="1"/>
  <c r="AD26" i="2062" s="1"/>
  <c r="O26" i="2062"/>
  <c r="M26" i="2062"/>
  <c r="K26" i="2062"/>
  <c r="AF25" i="2062"/>
  <c r="AB25" i="2062"/>
  <c r="Q25" i="2062"/>
  <c r="P25" i="2062"/>
  <c r="AC25" i="2062" s="1"/>
  <c r="O25" i="2062"/>
  <c r="M25" i="2062"/>
  <c r="K25" i="2062"/>
  <c r="AF24" i="2062"/>
  <c r="AB24" i="2062"/>
  <c r="Q24" i="2062"/>
  <c r="P24" i="2062"/>
  <c r="AC24" i="2062" s="1"/>
  <c r="O24" i="2062"/>
  <c r="M24" i="2062"/>
  <c r="K24" i="2062"/>
  <c r="AF23" i="2062"/>
  <c r="AB23" i="2062"/>
  <c r="Q23" i="2062"/>
  <c r="P23" i="2062"/>
  <c r="AC23" i="2062" s="1"/>
  <c r="AD23" i="2062" s="1"/>
  <c r="O23" i="2062"/>
  <c r="M23" i="2062"/>
  <c r="K23" i="2062"/>
  <c r="AF22" i="2062"/>
  <c r="AB22" i="2062"/>
  <c r="Q22" i="2062"/>
  <c r="P22" i="2062"/>
  <c r="AC22" i="2062" s="1"/>
  <c r="AD22" i="2062" s="1"/>
  <c r="O22" i="2062"/>
  <c r="M22" i="2062"/>
  <c r="K22" i="2062"/>
  <c r="AF21" i="2062"/>
  <c r="AB21" i="2062"/>
  <c r="Q21" i="2062"/>
  <c r="P21" i="2062"/>
  <c r="AC21" i="2062" s="1"/>
  <c r="O21" i="2062"/>
  <c r="M21" i="2062"/>
  <c r="K21" i="2062"/>
  <c r="AF20" i="2062"/>
  <c r="Q20" i="2062"/>
  <c r="P20" i="2062"/>
  <c r="AC20" i="2062" s="1"/>
  <c r="AF19" i="2062"/>
  <c r="AB19" i="2062"/>
  <c r="Q19" i="2062"/>
  <c r="P19" i="2062" s="1"/>
  <c r="AC19" i="2062" s="1"/>
  <c r="M19" i="2062"/>
  <c r="AF18" i="2062"/>
  <c r="Q18" i="2062"/>
  <c r="P18" i="2062" s="1"/>
  <c r="AC18" i="2062" s="1"/>
  <c r="AF17" i="2062"/>
  <c r="Q17" i="2062"/>
  <c r="P17" i="2062"/>
  <c r="AC17" i="2062" s="1"/>
  <c r="AF16" i="2062"/>
  <c r="Q16" i="2062"/>
  <c r="P16" i="2062"/>
  <c r="AC16" i="2062" s="1"/>
  <c r="O16" i="2062"/>
  <c r="AF15" i="2062"/>
  <c r="AC15" i="2062"/>
  <c r="AB15" i="2062"/>
  <c r="Q15" i="2062"/>
  <c r="P15" i="2062"/>
  <c r="O15" i="2062"/>
  <c r="M15" i="2062"/>
  <c r="K15" i="2062"/>
  <c r="AF14" i="2062"/>
  <c r="AB14" i="2062"/>
  <c r="Q14" i="2062"/>
  <c r="P14" i="2062"/>
  <c r="AC14" i="2062" s="1"/>
  <c r="O14" i="2062"/>
  <c r="M14" i="2062"/>
  <c r="K14" i="2062"/>
  <c r="AF13" i="2062"/>
  <c r="AB13" i="2062"/>
  <c r="Q13" i="2062"/>
  <c r="P13" i="2062"/>
  <c r="AC13" i="2062" s="1"/>
  <c r="M13" i="2062"/>
  <c r="AF12" i="2062"/>
  <c r="Q12" i="2062"/>
  <c r="AF11" i="2062"/>
  <c r="Q11" i="2062"/>
  <c r="P11" i="2062"/>
  <c r="AC11" i="2062" s="1"/>
  <c r="O11" i="2062"/>
  <c r="AF10" i="2062"/>
  <c r="AB10" i="2062"/>
  <c r="Q10" i="2062"/>
  <c r="P10" i="2062"/>
  <c r="AC10" i="2062" s="1"/>
  <c r="AD10" i="2062" s="1"/>
  <c r="O10" i="2062"/>
  <c r="M10" i="2062"/>
  <c r="K10" i="2062"/>
  <c r="AF9" i="2062"/>
  <c r="Q9" i="2062"/>
  <c r="P9" i="2062"/>
  <c r="AC9" i="2062" s="1"/>
  <c r="AF8" i="2062"/>
  <c r="Q8" i="2062"/>
  <c r="AF7" i="2062"/>
  <c r="AB7" i="2062"/>
  <c r="Q7" i="2062"/>
  <c r="M7" i="2062"/>
  <c r="AF6" i="2062"/>
  <c r="Q6" i="2062"/>
  <c r="P6" i="2062" s="1"/>
  <c r="L21" i="2061"/>
  <c r="L19" i="2061"/>
  <c r="L18" i="2061"/>
  <c r="K18" i="2061" s="1"/>
  <c r="L17" i="2061"/>
  <c r="L14" i="2061"/>
  <c r="M14" i="2061" s="1"/>
  <c r="L13" i="2061"/>
  <c r="L12" i="2061"/>
  <c r="K12" i="2061" s="1"/>
  <c r="L10" i="2061"/>
  <c r="L9" i="2061"/>
  <c r="L8" i="2061"/>
  <c r="K8" i="2061" s="1"/>
  <c r="AF8" i="2061"/>
  <c r="Q8" i="2061"/>
  <c r="P8" i="2061" s="1"/>
  <c r="AC8" i="2061" s="1"/>
  <c r="M8" i="2061"/>
  <c r="AB8" i="2061"/>
  <c r="L7" i="2061"/>
  <c r="AB7" i="2061" s="1"/>
  <c r="L6" i="2061"/>
  <c r="K22" i="2061"/>
  <c r="K21" i="2061"/>
  <c r="K19" i="2061"/>
  <c r="K17" i="2061"/>
  <c r="K14" i="2061"/>
  <c r="K13" i="2061"/>
  <c r="K10" i="2061"/>
  <c r="K9" i="2061"/>
  <c r="K7" i="2061"/>
  <c r="K6" i="2061"/>
  <c r="A84" i="2061"/>
  <c r="A85" i="2061" s="1"/>
  <c r="A86" i="2061" s="1"/>
  <c r="A87" i="2061" s="1"/>
  <c r="A88" i="2061" s="1"/>
  <c r="A89" i="2061" s="1"/>
  <c r="AF68" i="2061"/>
  <c r="AF67" i="2061"/>
  <c r="AF70" i="2061" s="1"/>
  <c r="AA29" i="2061"/>
  <c r="Z29" i="2061"/>
  <c r="Y29" i="2061"/>
  <c r="X29" i="2061"/>
  <c r="W29" i="2061"/>
  <c r="V29" i="2061"/>
  <c r="U29" i="2061"/>
  <c r="T29" i="2061"/>
  <c r="S29" i="2061"/>
  <c r="R29" i="2061"/>
  <c r="N29" i="2061"/>
  <c r="J29" i="2061"/>
  <c r="I29" i="2061"/>
  <c r="AF28" i="2061"/>
  <c r="AB28" i="2061"/>
  <c r="Q28" i="2061"/>
  <c r="P28" i="2061"/>
  <c r="AC28" i="2061" s="1"/>
  <c r="O28" i="2061"/>
  <c r="M28" i="2061"/>
  <c r="K28" i="2061"/>
  <c r="AF27" i="2061"/>
  <c r="AB27" i="2061"/>
  <c r="Q27" i="2061"/>
  <c r="P27" i="2061"/>
  <c r="AC27" i="2061" s="1"/>
  <c r="AD27" i="2061" s="1"/>
  <c r="O27" i="2061"/>
  <c r="M27" i="2061"/>
  <c r="K27" i="2061"/>
  <c r="AF26" i="2061"/>
  <c r="AB26" i="2061"/>
  <c r="Q26" i="2061"/>
  <c r="P26" i="2061"/>
  <c r="AC26" i="2061" s="1"/>
  <c r="AD26" i="2061" s="1"/>
  <c r="O26" i="2061"/>
  <c r="M26" i="2061"/>
  <c r="K26" i="2061"/>
  <c r="AF25" i="2061"/>
  <c r="AB25" i="2061"/>
  <c r="Q25" i="2061"/>
  <c r="P25" i="2061"/>
  <c r="AC25" i="2061" s="1"/>
  <c r="AD25" i="2061" s="1"/>
  <c r="O25" i="2061"/>
  <c r="M25" i="2061"/>
  <c r="K25" i="2061"/>
  <c r="AF24" i="2061"/>
  <c r="AB24" i="2061"/>
  <c r="Q24" i="2061"/>
  <c r="P24" i="2061"/>
  <c r="AC24" i="2061" s="1"/>
  <c r="O24" i="2061"/>
  <c r="M24" i="2061"/>
  <c r="K24" i="2061"/>
  <c r="AF23" i="2061"/>
  <c r="AC23" i="2061"/>
  <c r="AD23" i="2061" s="1"/>
  <c r="AB23" i="2061"/>
  <c r="Q23" i="2061"/>
  <c r="P23" i="2061"/>
  <c r="O23" i="2061"/>
  <c r="M23" i="2061"/>
  <c r="K23" i="2061"/>
  <c r="AF22" i="2061"/>
  <c r="Q22" i="2061"/>
  <c r="P22" i="2061"/>
  <c r="AC22" i="2061" s="1"/>
  <c r="AF21" i="2061"/>
  <c r="AB21" i="2061"/>
  <c r="Q21" i="2061"/>
  <c r="P21" i="2061" s="1"/>
  <c r="AC21" i="2061" s="1"/>
  <c r="O21" i="2061"/>
  <c r="M21" i="2061"/>
  <c r="AF20" i="2061"/>
  <c r="AB20" i="2061"/>
  <c r="Q20" i="2061"/>
  <c r="P20" i="2061"/>
  <c r="AC20" i="2061" s="1"/>
  <c r="O20" i="2061"/>
  <c r="M20" i="2061"/>
  <c r="K20" i="2061"/>
  <c r="AF19" i="2061"/>
  <c r="Q19" i="2061"/>
  <c r="P19" i="2061" s="1"/>
  <c r="AC19" i="2061" s="1"/>
  <c r="AF18" i="2061"/>
  <c r="AB18" i="2061"/>
  <c r="Q18" i="2061"/>
  <c r="P18" i="2061" s="1"/>
  <c r="AC18" i="2061" s="1"/>
  <c r="O18" i="2061"/>
  <c r="M18" i="2061"/>
  <c r="AF17" i="2061"/>
  <c r="AB17" i="2061"/>
  <c r="Q17" i="2061"/>
  <c r="O17" i="2061"/>
  <c r="M17" i="2061"/>
  <c r="P17" i="2061"/>
  <c r="AC17" i="2061" s="1"/>
  <c r="AF16" i="2061"/>
  <c r="AB16" i="2061"/>
  <c r="Q16" i="2061"/>
  <c r="P16" i="2061"/>
  <c r="AC16" i="2061" s="1"/>
  <c r="O16" i="2061"/>
  <c r="M16" i="2061"/>
  <c r="K16" i="2061"/>
  <c r="AF15" i="2061"/>
  <c r="AB15" i="2061"/>
  <c r="Q15" i="2061"/>
  <c r="P15" i="2061"/>
  <c r="AC15" i="2061" s="1"/>
  <c r="O15" i="2061"/>
  <c r="M15" i="2061"/>
  <c r="K15" i="2061"/>
  <c r="AF14" i="2061"/>
  <c r="Q14" i="2061"/>
  <c r="AF13" i="2061"/>
  <c r="Q13" i="2061"/>
  <c r="P13" i="2061" s="1"/>
  <c r="AC13" i="2061" s="1"/>
  <c r="AF12" i="2061"/>
  <c r="AB12" i="2061"/>
  <c r="Q12" i="2061"/>
  <c r="P12" i="2061" s="1"/>
  <c r="AC12" i="2061" s="1"/>
  <c r="M12" i="2061"/>
  <c r="AF11" i="2061"/>
  <c r="AC11" i="2061"/>
  <c r="AB11" i="2061"/>
  <c r="Q11" i="2061"/>
  <c r="P11" i="2061"/>
  <c r="O11" i="2061"/>
  <c r="M11" i="2061"/>
  <c r="K11" i="2061"/>
  <c r="AF10" i="2061"/>
  <c r="Q10" i="2061"/>
  <c r="P10" i="2061"/>
  <c r="AC10" i="2061" s="1"/>
  <c r="AF9" i="2061"/>
  <c r="AB9" i="2061"/>
  <c r="Q9" i="2061"/>
  <c r="P9" i="2061" s="1"/>
  <c r="AC9" i="2061" s="1"/>
  <c r="O9" i="2061"/>
  <c r="M9" i="2061"/>
  <c r="AF7" i="2061"/>
  <c r="Q7" i="2061"/>
  <c r="M7" i="2061"/>
  <c r="AF6" i="2061"/>
  <c r="AB6" i="2061"/>
  <c r="Q6" i="2061"/>
  <c r="M6" i="2061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1" i="2060"/>
  <c r="L20" i="2060"/>
  <c r="L18" i="2060"/>
  <c r="AB18" i="2060" s="1"/>
  <c r="L17" i="2060"/>
  <c r="L16" i="2060"/>
  <c r="L13" i="2060"/>
  <c r="K13" i="2060" s="1"/>
  <c r="L12" i="2060"/>
  <c r="K12" i="2060" s="1"/>
  <c r="L11" i="2060"/>
  <c r="K11" i="2060" s="1"/>
  <c r="L9" i="2060"/>
  <c r="L8" i="2060"/>
  <c r="L7" i="2060"/>
  <c r="L6" i="2060"/>
  <c r="K20" i="2060"/>
  <c r="K19" i="2060"/>
  <c r="K18" i="2060"/>
  <c r="K16" i="2060"/>
  <c r="K10" i="2060"/>
  <c r="K9" i="2060"/>
  <c r="K8" i="2060"/>
  <c r="K7" i="2060"/>
  <c r="A83" i="2060"/>
  <c r="A84" i="2060" s="1"/>
  <c r="A85" i="2060" s="1"/>
  <c r="A86" i="2060" s="1"/>
  <c r="A87" i="2060" s="1"/>
  <c r="A88" i="2060" s="1"/>
  <c r="AF69" i="2060"/>
  <c r="AF67" i="2060"/>
  <c r="AF66" i="2060"/>
  <c r="AA28" i="2060"/>
  <c r="Z28" i="2060"/>
  <c r="Y28" i="2060"/>
  <c r="X28" i="2060"/>
  <c r="W28" i="2060"/>
  <c r="V28" i="2060"/>
  <c r="U28" i="2060"/>
  <c r="T28" i="2060"/>
  <c r="S28" i="2060"/>
  <c r="R28" i="2060"/>
  <c r="N28" i="2060"/>
  <c r="J28" i="2060"/>
  <c r="I28" i="2060"/>
  <c r="AF27" i="2060"/>
  <c r="AB27" i="2060"/>
  <c r="Q27" i="2060"/>
  <c r="P27" i="2060"/>
  <c r="AC27" i="2060" s="1"/>
  <c r="AD27" i="2060" s="1"/>
  <c r="O27" i="2060"/>
  <c r="M27" i="2060"/>
  <c r="K27" i="2060"/>
  <c r="AF26" i="2060"/>
  <c r="AB26" i="2060"/>
  <c r="Q26" i="2060"/>
  <c r="P26" i="2060"/>
  <c r="AC26" i="2060" s="1"/>
  <c r="AD26" i="2060" s="1"/>
  <c r="O26" i="2060"/>
  <c r="M26" i="2060"/>
  <c r="K26" i="2060"/>
  <c r="AF25" i="2060"/>
  <c r="AB25" i="2060"/>
  <c r="Q25" i="2060"/>
  <c r="P25" i="2060"/>
  <c r="AC25" i="2060" s="1"/>
  <c r="AD25" i="2060" s="1"/>
  <c r="O25" i="2060"/>
  <c r="M25" i="2060"/>
  <c r="K25" i="2060"/>
  <c r="AF24" i="2060"/>
  <c r="AB24" i="2060"/>
  <c r="Q24" i="2060"/>
  <c r="P24" i="2060"/>
  <c r="AC24" i="2060" s="1"/>
  <c r="AD24" i="2060" s="1"/>
  <c r="O24" i="2060"/>
  <c r="M24" i="2060"/>
  <c r="K24" i="2060"/>
  <c r="AF23" i="2060"/>
  <c r="AC23" i="2060"/>
  <c r="AD23" i="2060" s="1"/>
  <c r="AB23" i="2060"/>
  <c r="Q23" i="2060"/>
  <c r="P23" i="2060"/>
  <c r="O23" i="2060"/>
  <c r="M23" i="2060"/>
  <c r="K23" i="2060"/>
  <c r="AF22" i="2060"/>
  <c r="AB22" i="2060"/>
  <c r="Q22" i="2060"/>
  <c r="P22" i="2060"/>
  <c r="AC22" i="2060" s="1"/>
  <c r="AD22" i="2060" s="1"/>
  <c r="O22" i="2060"/>
  <c r="M22" i="2060"/>
  <c r="K22" i="2060"/>
  <c r="AF21" i="2060"/>
  <c r="AB21" i="2060"/>
  <c r="Q21" i="2060"/>
  <c r="P21" i="2060"/>
  <c r="AC21" i="2060" s="1"/>
  <c r="AD21" i="2060" s="1"/>
  <c r="O21" i="2060"/>
  <c r="M21" i="2060"/>
  <c r="K21" i="2060"/>
  <c r="AF20" i="2060"/>
  <c r="Q20" i="2060"/>
  <c r="O20" i="2060"/>
  <c r="AF19" i="2060"/>
  <c r="Q19" i="2060"/>
  <c r="P19" i="2060"/>
  <c r="AC19" i="2060" s="1"/>
  <c r="AB19" i="2060"/>
  <c r="AF18" i="2060"/>
  <c r="Q18" i="2060"/>
  <c r="O18" i="2060"/>
  <c r="AF17" i="2060"/>
  <c r="AB17" i="2060"/>
  <c r="Q17" i="2060"/>
  <c r="P17" i="2060" s="1"/>
  <c r="AC17" i="2060" s="1"/>
  <c r="O17" i="2060"/>
  <c r="M17" i="2060"/>
  <c r="K17" i="2060"/>
  <c r="AF16" i="2060"/>
  <c r="Q16" i="2060"/>
  <c r="P16" i="2060"/>
  <c r="AC16" i="2060" s="1"/>
  <c r="AB16" i="2060"/>
  <c r="AF15" i="2060"/>
  <c r="AC15" i="2060"/>
  <c r="AB15" i="2060"/>
  <c r="Q15" i="2060"/>
  <c r="P15" i="2060"/>
  <c r="O15" i="2060"/>
  <c r="M15" i="2060"/>
  <c r="K15" i="2060"/>
  <c r="AF14" i="2060"/>
  <c r="AB14" i="2060"/>
  <c r="Q14" i="2060"/>
  <c r="P14" i="2060"/>
  <c r="AC14" i="2060" s="1"/>
  <c r="AD14" i="2060" s="1"/>
  <c r="O14" i="2060"/>
  <c r="M14" i="2060"/>
  <c r="K14" i="2060"/>
  <c r="AF13" i="2060"/>
  <c r="Q13" i="2060"/>
  <c r="P13" i="2060" s="1"/>
  <c r="AC13" i="2060" s="1"/>
  <c r="O13" i="2060"/>
  <c r="M13" i="2060"/>
  <c r="AB13" i="2060"/>
  <c r="AF12" i="2060"/>
  <c r="Q12" i="2060"/>
  <c r="O12" i="2060"/>
  <c r="AF11" i="2060"/>
  <c r="AB11" i="2060"/>
  <c r="Q11" i="2060"/>
  <c r="P11" i="2060" s="1"/>
  <c r="AC11" i="2060" s="1"/>
  <c r="O11" i="2060"/>
  <c r="M11" i="2060"/>
  <c r="AF10" i="2060"/>
  <c r="AB10" i="2060"/>
  <c r="Q10" i="2060"/>
  <c r="P10" i="2060"/>
  <c r="AC10" i="2060" s="1"/>
  <c r="AD10" i="2060" s="1"/>
  <c r="O10" i="2060"/>
  <c r="M10" i="2060"/>
  <c r="AF9" i="2060"/>
  <c r="Q9" i="2060"/>
  <c r="O9" i="2060"/>
  <c r="AF8" i="2060"/>
  <c r="Q8" i="2060"/>
  <c r="AF7" i="2060"/>
  <c r="AB7" i="2060"/>
  <c r="Q7" i="2060"/>
  <c r="P7" i="2060"/>
  <c r="AC7" i="2060" s="1"/>
  <c r="O7" i="2060"/>
  <c r="M7" i="2060"/>
  <c r="L28" i="2060"/>
  <c r="O28" i="2060" s="1"/>
  <c r="AF6" i="2060"/>
  <c r="AB6" i="2060"/>
  <c r="Q6" i="2060"/>
  <c r="O6" i="2060"/>
  <c r="M6" i="2060"/>
  <c r="K6" i="2060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AD29" i="2069" l="1"/>
  <c r="AD28" i="2068"/>
  <c r="AE9" i="2068" s="1"/>
  <c r="AC29" i="2067"/>
  <c r="AD6" i="2067"/>
  <c r="AD29" i="2067" s="1"/>
  <c r="AB29" i="2066"/>
  <c r="M29" i="2066"/>
  <c r="P29" i="2066"/>
  <c r="K29" i="2066"/>
  <c r="AD20" i="2066"/>
  <c r="AD17" i="2066"/>
  <c r="AD6" i="2066"/>
  <c r="AC29" i="2066"/>
  <c r="AD20" i="2065"/>
  <c r="AD17" i="2065"/>
  <c r="K28" i="2065"/>
  <c r="AB28" i="2065"/>
  <c r="AD6" i="2065"/>
  <c r="AD28" i="2065" s="1"/>
  <c r="AC28" i="2065"/>
  <c r="M28" i="2065"/>
  <c r="P28" i="2065"/>
  <c r="AD22" i="2064"/>
  <c r="AD24" i="2064"/>
  <c r="AD10" i="2064"/>
  <c r="AD15" i="2064"/>
  <c r="AD16" i="2064"/>
  <c r="AD26" i="2064"/>
  <c r="AD21" i="2064"/>
  <c r="Q28" i="2064"/>
  <c r="P6" i="2064"/>
  <c r="AD9" i="2064"/>
  <c r="AD14" i="2064"/>
  <c r="AD12" i="2064"/>
  <c r="AD19" i="2064"/>
  <c r="AD8" i="2064"/>
  <c r="AD11" i="2064"/>
  <c r="AD18" i="2064"/>
  <c r="AD17" i="2064"/>
  <c r="O6" i="2064"/>
  <c r="AC6" i="2064"/>
  <c r="K28" i="2064"/>
  <c r="P7" i="2064"/>
  <c r="AC7" i="2064" s="1"/>
  <c r="AD7" i="2064" s="1"/>
  <c r="P13" i="2064"/>
  <c r="AC13" i="2064" s="1"/>
  <c r="AD13" i="2064" s="1"/>
  <c r="P20" i="2064"/>
  <c r="AC20" i="2064" s="1"/>
  <c r="M7" i="2064"/>
  <c r="M28" i="2064" s="1"/>
  <c r="M13" i="2064"/>
  <c r="M20" i="2064"/>
  <c r="AB20" i="2064"/>
  <c r="AB28" i="2064" s="1"/>
  <c r="P14" i="2063"/>
  <c r="AC14" i="2063" s="1"/>
  <c r="P10" i="2063"/>
  <c r="AC10" i="2063" s="1"/>
  <c r="AD28" i="2063"/>
  <c r="AD12" i="2063"/>
  <c r="AD24" i="2063"/>
  <c r="O7" i="2063"/>
  <c r="AD11" i="2063"/>
  <c r="AD25" i="2063"/>
  <c r="P7" i="2063"/>
  <c r="AC7" i="2063" s="1"/>
  <c r="Q29" i="2063"/>
  <c r="O6" i="2063"/>
  <c r="AD6" i="2063" s="1"/>
  <c r="AD13" i="2063"/>
  <c r="AD19" i="2063"/>
  <c r="AD15" i="2063"/>
  <c r="AD16" i="2063"/>
  <c r="AD22" i="2063"/>
  <c r="AD23" i="2063"/>
  <c r="AD14" i="2063"/>
  <c r="AD20" i="2063"/>
  <c r="L29" i="2063"/>
  <c r="O29" i="2063" s="1"/>
  <c r="M10" i="2063"/>
  <c r="AB10" i="2063"/>
  <c r="M18" i="2063"/>
  <c r="AB18" i="2063"/>
  <c r="AD18" i="2063" s="1"/>
  <c r="AC29" i="2063"/>
  <c r="M8" i="2063"/>
  <c r="AB8" i="2063"/>
  <c r="AD8" i="2063" s="1"/>
  <c r="O10" i="2063"/>
  <c r="M17" i="2063"/>
  <c r="AB17" i="2063"/>
  <c r="AD17" i="2063" s="1"/>
  <c r="O18" i="2063"/>
  <c r="M21" i="2063"/>
  <c r="AB21" i="2063"/>
  <c r="AD21" i="2063" s="1"/>
  <c r="M7" i="2063"/>
  <c r="K29" i="2063"/>
  <c r="M14" i="2063"/>
  <c r="M20" i="2063"/>
  <c r="O17" i="2062"/>
  <c r="AB16" i="2062"/>
  <c r="AD16" i="2062" s="1"/>
  <c r="O13" i="2062"/>
  <c r="AD13" i="2062"/>
  <c r="P12" i="2062"/>
  <c r="AC12" i="2062" s="1"/>
  <c r="P8" i="2062"/>
  <c r="AC8" i="2062" s="1"/>
  <c r="O8" i="2062"/>
  <c r="AD15" i="2062"/>
  <c r="AD21" i="2062"/>
  <c r="AD25" i="2062"/>
  <c r="AF69" i="2062"/>
  <c r="AD19" i="2062"/>
  <c r="AD24" i="2062"/>
  <c r="Q28" i="2062"/>
  <c r="P7" i="2062"/>
  <c r="AC7" i="2062" s="1"/>
  <c r="AD7" i="2062" s="1"/>
  <c r="O7" i="2062"/>
  <c r="AD14" i="2062"/>
  <c r="AC6" i="2062"/>
  <c r="AB9" i="2062"/>
  <c r="M12" i="2062"/>
  <c r="AB12" i="2062"/>
  <c r="M18" i="2062"/>
  <c r="AB18" i="2062"/>
  <c r="AB6" i="2062"/>
  <c r="O6" i="2062"/>
  <c r="M8" i="2062"/>
  <c r="AB8" i="2062"/>
  <c r="O9" i="2062"/>
  <c r="M11" i="2062"/>
  <c r="AB11" i="2062"/>
  <c r="AD11" i="2062" s="1"/>
  <c r="O12" i="2062"/>
  <c r="M17" i="2062"/>
  <c r="AB17" i="2062"/>
  <c r="AD17" i="2062" s="1"/>
  <c r="O18" i="2062"/>
  <c r="M20" i="2062"/>
  <c r="AB20" i="2062"/>
  <c r="AD20" i="2062" s="1"/>
  <c r="L28" i="2062"/>
  <c r="O28" i="2062" s="1"/>
  <c r="M6" i="2062"/>
  <c r="M9" i="2062"/>
  <c r="M16" i="2062"/>
  <c r="P14" i="2061"/>
  <c r="AC14" i="2061" s="1"/>
  <c r="AB14" i="2061"/>
  <c r="O12" i="2061"/>
  <c r="O8" i="2061"/>
  <c r="AD8" i="2061"/>
  <c r="O7" i="2061"/>
  <c r="AD24" i="2061"/>
  <c r="AD16" i="2061"/>
  <c r="AD17" i="2061"/>
  <c r="AD18" i="2061"/>
  <c r="P7" i="2061"/>
  <c r="AC7" i="2061" s="1"/>
  <c r="AD7" i="2061" s="1"/>
  <c r="AD9" i="2061"/>
  <c r="AD15" i="2061"/>
  <c r="AD21" i="2061"/>
  <c r="AD28" i="2061"/>
  <c r="Q29" i="2061"/>
  <c r="P6" i="2061"/>
  <c r="AC6" i="2061" s="1"/>
  <c r="AD11" i="2061"/>
  <c r="AD12" i="2061"/>
  <c r="AD20" i="2061"/>
  <c r="O6" i="2061"/>
  <c r="M10" i="2061"/>
  <c r="M29" i="2061" s="1"/>
  <c r="AB10" i="2061"/>
  <c r="M13" i="2061"/>
  <c r="AB13" i="2061"/>
  <c r="O14" i="2061"/>
  <c r="M19" i="2061"/>
  <c r="AB19" i="2061"/>
  <c r="M22" i="2061"/>
  <c r="AB22" i="2061"/>
  <c r="AD22" i="2061" s="1"/>
  <c r="L29" i="2061"/>
  <c r="O29" i="2061" s="1"/>
  <c r="O10" i="2061"/>
  <c r="O13" i="2061"/>
  <c r="O19" i="2061"/>
  <c r="O22" i="2061"/>
  <c r="P18" i="2060"/>
  <c r="AC18" i="2060" s="1"/>
  <c r="P12" i="2060"/>
  <c r="AC12" i="2060" s="1"/>
  <c r="AB12" i="2060"/>
  <c r="M12" i="2060"/>
  <c r="P8" i="2060"/>
  <c r="AC8" i="2060" s="1"/>
  <c r="AB8" i="2060"/>
  <c r="Q28" i="2060"/>
  <c r="AD7" i="2060"/>
  <c r="P6" i="2060"/>
  <c r="AC6" i="2060" s="1"/>
  <c r="AD6" i="2060" s="1"/>
  <c r="AD11" i="2060"/>
  <c r="AD15" i="2060"/>
  <c r="AD17" i="2060"/>
  <c r="AD18" i="2060"/>
  <c r="AD13" i="2060"/>
  <c r="O8" i="2060"/>
  <c r="K28" i="2060"/>
  <c r="P9" i="2060"/>
  <c r="AC9" i="2060" s="1"/>
  <c r="O16" i="2060"/>
  <c r="AD16" i="2060" s="1"/>
  <c r="M18" i="2060"/>
  <c r="O19" i="2060"/>
  <c r="AD19" i="2060" s="1"/>
  <c r="P20" i="2060"/>
  <c r="AC20" i="2060" s="1"/>
  <c r="M9" i="2060"/>
  <c r="M20" i="2060"/>
  <c r="AB20" i="2060"/>
  <c r="AB9" i="2060"/>
  <c r="M8" i="2060"/>
  <c r="M16" i="2060"/>
  <c r="M19" i="2060"/>
  <c r="L20" i="2059"/>
  <c r="K20" i="2059" s="1"/>
  <c r="L19" i="2059"/>
  <c r="K19" i="2059" s="1"/>
  <c r="L18" i="2059"/>
  <c r="L16" i="2059"/>
  <c r="K16" i="2059" s="1"/>
  <c r="L13" i="2059"/>
  <c r="L12" i="2059"/>
  <c r="K11" i="2059"/>
  <c r="K10" i="2059"/>
  <c r="L9" i="2059"/>
  <c r="L8" i="2059"/>
  <c r="K8" i="2059"/>
  <c r="L7" i="2059"/>
  <c r="K7" i="2059"/>
  <c r="K13" i="2059"/>
  <c r="K12" i="2059"/>
  <c r="K9" i="2059"/>
  <c r="K6" i="2059"/>
  <c r="A84" i="2059"/>
  <c r="A85" i="2059" s="1"/>
  <c r="A86" i="2059" s="1"/>
  <c r="A87" i="2059" s="1"/>
  <c r="A88" i="2059" s="1"/>
  <c r="A83" i="2059"/>
  <c r="AF69" i="2059"/>
  <c r="AF67" i="2059"/>
  <c r="AF66" i="2059"/>
  <c r="AA28" i="2059"/>
  <c r="Z28" i="2059"/>
  <c r="Y28" i="2059"/>
  <c r="X28" i="2059"/>
  <c r="W28" i="2059"/>
  <c r="V28" i="2059"/>
  <c r="U28" i="2059"/>
  <c r="T28" i="2059"/>
  <c r="S28" i="2059"/>
  <c r="R28" i="2059"/>
  <c r="N28" i="2059"/>
  <c r="J28" i="2059"/>
  <c r="I28" i="2059"/>
  <c r="AF27" i="2059"/>
  <c r="AC27" i="2059"/>
  <c r="AD27" i="2059" s="1"/>
  <c r="AB27" i="2059"/>
  <c r="Q27" i="2059"/>
  <c r="P27" i="2059"/>
  <c r="O27" i="2059"/>
  <c r="M27" i="2059"/>
  <c r="K27" i="2059"/>
  <c r="AF26" i="2059"/>
  <c r="AC26" i="2059"/>
  <c r="AD26" i="2059" s="1"/>
  <c r="AB26" i="2059"/>
  <c r="Q26" i="2059"/>
  <c r="P26" i="2059"/>
  <c r="O26" i="2059"/>
  <c r="M26" i="2059"/>
  <c r="K26" i="2059"/>
  <c r="AF25" i="2059"/>
  <c r="AC25" i="2059"/>
  <c r="AD25" i="2059" s="1"/>
  <c r="AB25" i="2059"/>
  <c r="Q25" i="2059"/>
  <c r="P25" i="2059"/>
  <c r="O25" i="2059"/>
  <c r="M25" i="2059"/>
  <c r="K25" i="2059"/>
  <c r="AF24" i="2059"/>
  <c r="AC24" i="2059"/>
  <c r="AD24" i="2059" s="1"/>
  <c r="AB24" i="2059"/>
  <c r="Q24" i="2059"/>
  <c r="P24" i="2059"/>
  <c r="O24" i="2059"/>
  <c r="M24" i="2059"/>
  <c r="K24" i="2059"/>
  <c r="AF23" i="2059"/>
  <c r="AC23" i="2059"/>
  <c r="AD23" i="2059" s="1"/>
  <c r="AB23" i="2059"/>
  <c r="Q23" i="2059"/>
  <c r="P23" i="2059"/>
  <c r="O23" i="2059"/>
  <c r="M23" i="2059"/>
  <c r="K23" i="2059"/>
  <c r="AF22" i="2059"/>
  <c r="AC22" i="2059"/>
  <c r="AD22" i="2059" s="1"/>
  <c r="AB22" i="2059"/>
  <c r="Q22" i="2059"/>
  <c r="P22" i="2059"/>
  <c r="O22" i="2059"/>
  <c r="M22" i="2059"/>
  <c r="K22" i="2059"/>
  <c r="AF21" i="2059"/>
  <c r="AC21" i="2059"/>
  <c r="AD21" i="2059" s="1"/>
  <c r="AB21" i="2059"/>
  <c r="Q21" i="2059"/>
  <c r="P21" i="2059"/>
  <c r="O21" i="2059"/>
  <c r="M21" i="2059"/>
  <c r="K21" i="2059"/>
  <c r="AF20" i="2059"/>
  <c r="Q20" i="2059"/>
  <c r="O20" i="2059"/>
  <c r="AF19" i="2059"/>
  <c r="AB19" i="2059"/>
  <c r="Q19" i="2059"/>
  <c r="P19" i="2059" s="1"/>
  <c r="AC19" i="2059" s="1"/>
  <c r="M19" i="2059"/>
  <c r="O19" i="2059"/>
  <c r="AF18" i="2059"/>
  <c r="AB18" i="2059"/>
  <c r="Q18" i="2059"/>
  <c r="P18" i="2059" s="1"/>
  <c r="AC18" i="2059" s="1"/>
  <c r="O18" i="2059"/>
  <c r="M18" i="2059"/>
  <c r="K18" i="2059"/>
  <c r="AF17" i="2059"/>
  <c r="AB17" i="2059"/>
  <c r="Q17" i="2059"/>
  <c r="P17" i="2059"/>
  <c r="AC17" i="2059" s="1"/>
  <c r="AD17" i="2059" s="1"/>
  <c r="O17" i="2059"/>
  <c r="M17" i="2059"/>
  <c r="K17" i="2059"/>
  <c r="AF16" i="2059"/>
  <c r="Q16" i="2059"/>
  <c r="P16" i="2059" s="1"/>
  <c r="AC16" i="2059" s="1"/>
  <c r="O16" i="2059"/>
  <c r="AF15" i="2059"/>
  <c r="AB15" i="2059"/>
  <c r="Q15" i="2059"/>
  <c r="P15" i="2059"/>
  <c r="AC15" i="2059" s="1"/>
  <c r="O15" i="2059"/>
  <c r="M15" i="2059"/>
  <c r="K15" i="2059"/>
  <c r="AF14" i="2059"/>
  <c r="AB14" i="2059"/>
  <c r="Q14" i="2059"/>
  <c r="P14" i="2059"/>
  <c r="AC14" i="2059" s="1"/>
  <c r="O14" i="2059"/>
  <c r="M14" i="2059"/>
  <c r="K14" i="2059"/>
  <c r="AF13" i="2059"/>
  <c r="AB13" i="2059"/>
  <c r="Q13" i="2059"/>
  <c r="P13" i="2059" s="1"/>
  <c r="AC13" i="2059" s="1"/>
  <c r="O13" i="2059"/>
  <c r="M13" i="2059"/>
  <c r="AF12" i="2059"/>
  <c r="Q12" i="2059"/>
  <c r="O12" i="2059"/>
  <c r="AF11" i="2059"/>
  <c r="AB11" i="2059"/>
  <c r="Q11" i="2059"/>
  <c r="P11" i="2059" s="1"/>
  <c r="AC11" i="2059" s="1"/>
  <c r="O11" i="2059"/>
  <c r="M11" i="2059"/>
  <c r="AF10" i="2059"/>
  <c r="AB10" i="2059"/>
  <c r="Q10" i="2059"/>
  <c r="P10" i="2059" s="1"/>
  <c r="AC10" i="2059" s="1"/>
  <c r="O10" i="2059"/>
  <c r="M10" i="2059"/>
  <c r="AF9" i="2059"/>
  <c r="AB9" i="2059"/>
  <c r="Q9" i="2059"/>
  <c r="P9" i="2059"/>
  <c r="AC9" i="2059" s="1"/>
  <c r="M9" i="2059"/>
  <c r="O9" i="2059"/>
  <c r="AF8" i="2059"/>
  <c r="Q8" i="2059"/>
  <c r="O8" i="2059"/>
  <c r="AF7" i="2059"/>
  <c r="AB7" i="2059"/>
  <c r="Q7" i="2059"/>
  <c r="P7" i="2059" s="1"/>
  <c r="AC7" i="2059" s="1"/>
  <c r="O7" i="2059"/>
  <c r="M7" i="2059"/>
  <c r="AF6" i="2059"/>
  <c r="AB6" i="2059"/>
  <c r="Q6" i="2059"/>
  <c r="P6" i="2059"/>
  <c r="M6" i="2059"/>
  <c r="L28" i="2059"/>
  <c r="O28" i="2059" s="1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K21" i="2058"/>
  <c r="L20" i="2058"/>
  <c r="K20" i="2058"/>
  <c r="L19" i="2058"/>
  <c r="L16" i="2058"/>
  <c r="K16" i="2058"/>
  <c r="L13" i="2058"/>
  <c r="K13" i="2058" s="1"/>
  <c r="L12" i="2058"/>
  <c r="L9" i="2058"/>
  <c r="L8" i="2058"/>
  <c r="K8" i="2058" s="1"/>
  <c r="L6" i="2058"/>
  <c r="K6" i="2058" s="1"/>
  <c r="K18" i="2058"/>
  <c r="K12" i="2058"/>
  <c r="K10" i="2058"/>
  <c r="K9" i="2058"/>
  <c r="A83" i="2058"/>
  <c r="A84" i="2058" s="1"/>
  <c r="A85" i="2058" s="1"/>
  <c r="A86" i="2058" s="1"/>
  <c r="A87" i="2058" s="1"/>
  <c r="A88" i="2058" s="1"/>
  <c r="AF67" i="2058"/>
  <c r="AF66" i="2058"/>
  <c r="AF69" i="2058" s="1"/>
  <c r="AA28" i="2058"/>
  <c r="Z28" i="2058"/>
  <c r="Y28" i="2058"/>
  <c r="X28" i="2058"/>
  <c r="W28" i="2058"/>
  <c r="V28" i="2058"/>
  <c r="U28" i="2058"/>
  <c r="T28" i="2058"/>
  <c r="S28" i="2058"/>
  <c r="R28" i="2058"/>
  <c r="N28" i="2058"/>
  <c r="J28" i="2058"/>
  <c r="I28" i="2058"/>
  <c r="AF27" i="2058"/>
  <c r="AB27" i="2058"/>
  <c r="Q27" i="2058"/>
  <c r="P27" i="2058"/>
  <c r="AC27" i="2058" s="1"/>
  <c r="AD27" i="2058" s="1"/>
  <c r="O27" i="2058"/>
  <c r="M27" i="2058"/>
  <c r="K27" i="2058"/>
  <c r="AF26" i="2058"/>
  <c r="AB26" i="2058"/>
  <c r="Q26" i="2058"/>
  <c r="P26" i="2058"/>
  <c r="AC26" i="2058" s="1"/>
  <c r="AD26" i="2058" s="1"/>
  <c r="O26" i="2058"/>
  <c r="M26" i="2058"/>
  <c r="K26" i="2058"/>
  <c r="AF25" i="2058"/>
  <c r="AB25" i="2058"/>
  <c r="Q25" i="2058"/>
  <c r="P25" i="2058"/>
  <c r="AC25" i="2058" s="1"/>
  <c r="O25" i="2058"/>
  <c r="M25" i="2058"/>
  <c r="K25" i="2058"/>
  <c r="AF24" i="2058"/>
  <c r="AC24" i="2058"/>
  <c r="AB24" i="2058"/>
  <c r="Q24" i="2058"/>
  <c r="P24" i="2058"/>
  <c r="O24" i="2058"/>
  <c r="M24" i="2058"/>
  <c r="K24" i="2058"/>
  <c r="AF23" i="2058"/>
  <c r="AB23" i="2058"/>
  <c r="Q23" i="2058"/>
  <c r="P23" i="2058"/>
  <c r="AC23" i="2058" s="1"/>
  <c r="O23" i="2058"/>
  <c r="M23" i="2058"/>
  <c r="K23" i="2058"/>
  <c r="AF22" i="2058"/>
  <c r="AC22" i="2058"/>
  <c r="AB22" i="2058"/>
  <c r="Q22" i="2058"/>
  <c r="P22" i="2058"/>
  <c r="O22" i="2058"/>
  <c r="M22" i="2058"/>
  <c r="K22" i="2058"/>
  <c r="AF21" i="2058"/>
  <c r="Q21" i="2058"/>
  <c r="P21" i="2058"/>
  <c r="AC21" i="2058" s="1"/>
  <c r="AF20" i="2058"/>
  <c r="Q20" i="2058"/>
  <c r="P20" i="2058" s="1"/>
  <c r="AC20" i="2058" s="1"/>
  <c r="O20" i="2058"/>
  <c r="AB20" i="2058"/>
  <c r="AF19" i="2058"/>
  <c r="AB19" i="2058"/>
  <c r="Q19" i="2058"/>
  <c r="P19" i="2058"/>
  <c r="AC19" i="2058" s="1"/>
  <c r="O19" i="2058"/>
  <c r="M19" i="2058"/>
  <c r="K19" i="2058"/>
  <c r="AF18" i="2058"/>
  <c r="AB18" i="2058"/>
  <c r="Q18" i="2058"/>
  <c r="P18" i="2058" s="1"/>
  <c r="AC18" i="2058" s="1"/>
  <c r="O18" i="2058"/>
  <c r="M18" i="2058"/>
  <c r="AF17" i="2058"/>
  <c r="AB17" i="2058"/>
  <c r="Q17" i="2058"/>
  <c r="P17" i="2058"/>
  <c r="AC17" i="2058" s="1"/>
  <c r="O17" i="2058"/>
  <c r="M17" i="2058"/>
  <c r="K17" i="2058"/>
  <c r="AF16" i="2058"/>
  <c r="AB16" i="2058"/>
  <c r="Q16" i="2058"/>
  <c r="P16" i="2058" s="1"/>
  <c r="AC16" i="2058" s="1"/>
  <c r="O16" i="2058"/>
  <c r="M16" i="2058"/>
  <c r="AF15" i="2058"/>
  <c r="AB15" i="2058"/>
  <c r="Q15" i="2058"/>
  <c r="P15" i="2058"/>
  <c r="AC15" i="2058" s="1"/>
  <c r="O15" i="2058"/>
  <c r="M15" i="2058"/>
  <c r="K15" i="2058"/>
  <c r="AF14" i="2058"/>
  <c r="AB14" i="2058"/>
  <c r="Q14" i="2058"/>
  <c r="P14" i="2058"/>
  <c r="AC14" i="2058" s="1"/>
  <c r="O14" i="2058"/>
  <c r="M14" i="2058"/>
  <c r="K14" i="2058"/>
  <c r="AF13" i="2058"/>
  <c r="Q13" i="2058"/>
  <c r="P13" i="2058"/>
  <c r="AC13" i="2058" s="1"/>
  <c r="O13" i="2058"/>
  <c r="AF12" i="2058"/>
  <c r="AB12" i="2058"/>
  <c r="Q12" i="2058"/>
  <c r="P12" i="2058"/>
  <c r="AC12" i="2058" s="1"/>
  <c r="O12" i="2058"/>
  <c r="M12" i="2058"/>
  <c r="AF11" i="2058"/>
  <c r="AB11" i="2058"/>
  <c r="Q11" i="2058"/>
  <c r="P11" i="2058"/>
  <c r="AC11" i="2058" s="1"/>
  <c r="O11" i="2058"/>
  <c r="M11" i="2058"/>
  <c r="K11" i="2058"/>
  <c r="AF10" i="2058"/>
  <c r="Q10" i="2058"/>
  <c r="P10" i="2058"/>
  <c r="AC10" i="2058" s="1"/>
  <c r="O10" i="2058"/>
  <c r="AF9" i="2058"/>
  <c r="AB9" i="2058"/>
  <c r="Q9" i="2058"/>
  <c r="P9" i="2058" s="1"/>
  <c r="AC9" i="2058" s="1"/>
  <c r="O9" i="2058"/>
  <c r="M9" i="2058"/>
  <c r="AF8" i="2058"/>
  <c r="Q8" i="2058"/>
  <c r="AF7" i="2058"/>
  <c r="AB7" i="2058"/>
  <c r="Q7" i="2058"/>
  <c r="P7" i="2058"/>
  <c r="AC7" i="2058" s="1"/>
  <c r="O7" i="2058"/>
  <c r="M7" i="2058"/>
  <c r="K7" i="2058"/>
  <c r="AF6" i="2058"/>
  <c r="AB6" i="2058"/>
  <c r="Q6" i="2058"/>
  <c r="P6" i="2058" s="1"/>
  <c r="O6" i="2058"/>
  <c r="M6" i="2058"/>
  <c r="J25" i="16"/>
  <c r="J24" i="16"/>
  <c r="AG24" i="16" s="1"/>
  <c r="J23" i="16"/>
  <c r="J22" i="16"/>
  <c r="J21" i="16"/>
  <c r="J20" i="16"/>
  <c r="J19" i="16"/>
  <c r="J18" i="16"/>
  <c r="J17" i="16"/>
  <c r="J16" i="16"/>
  <c r="AG16" i="16" s="1"/>
  <c r="J15" i="16"/>
  <c r="J14" i="16"/>
  <c r="J13" i="16"/>
  <c r="J12" i="16"/>
  <c r="J11" i="16"/>
  <c r="J10" i="16"/>
  <c r="J9" i="16"/>
  <c r="J8" i="16"/>
  <c r="AG8" i="16" s="1"/>
  <c r="J7" i="16"/>
  <c r="J6" i="16"/>
  <c r="J5" i="16"/>
  <c r="J4" i="16"/>
  <c r="J3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2" i="2057"/>
  <c r="K22" i="2057" s="1"/>
  <c r="L21" i="2057"/>
  <c r="O21" i="2057" s="1"/>
  <c r="L18" i="2057"/>
  <c r="O18" i="2057" s="1"/>
  <c r="K18" i="2057"/>
  <c r="L14" i="2057"/>
  <c r="K14" i="2057"/>
  <c r="L13" i="2057"/>
  <c r="K13" i="2057" s="1"/>
  <c r="L11" i="2057"/>
  <c r="K11" i="2057" s="1"/>
  <c r="L10" i="2057"/>
  <c r="K10" i="2057" s="1"/>
  <c r="L9" i="2057"/>
  <c r="O9" i="2057" s="1"/>
  <c r="K7" i="2057"/>
  <c r="K6" i="2057"/>
  <c r="AF7" i="2057"/>
  <c r="AB7" i="2057"/>
  <c r="Q7" i="2057"/>
  <c r="P7" i="2057"/>
  <c r="AC7" i="2057" s="1"/>
  <c r="AD7" i="2057" s="1"/>
  <c r="O7" i="2057"/>
  <c r="M7" i="2057"/>
  <c r="K21" i="2057"/>
  <c r="K19" i="2057"/>
  <c r="K8" i="2057"/>
  <c r="A84" i="2057"/>
  <c r="A85" i="2057" s="1"/>
  <c r="A86" i="2057" s="1"/>
  <c r="A87" i="2057" s="1"/>
  <c r="A88" i="2057" s="1"/>
  <c r="A89" i="2057" s="1"/>
  <c r="AF68" i="2057"/>
  <c r="AF67" i="2057"/>
  <c r="AA29" i="2057"/>
  <c r="Z29" i="2057"/>
  <c r="Y29" i="2057"/>
  <c r="X29" i="2057"/>
  <c r="W29" i="2057"/>
  <c r="V29" i="2057"/>
  <c r="U29" i="2057"/>
  <c r="T29" i="2057"/>
  <c r="S29" i="2057"/>
  <c r="R29" i="2057"/>
  <c r="N29" i="2057"/>
  <c r="J29" i="2057"/>
  <c r="I29" i="2057"/>
  <c r="AF28" i="2057"/>
  <c r="AB28" i="2057"/>
  <c r="Q28" i="2057"/>
  <c r="P28" i="2057"/>
  <c r="AC28" i="2057" s="1"/>
  <c r="O28" i="2057"/>
  <c r="M28" i="2057"/>
  <c r="K28" i="2057"/>
  <c r="AF27" i="2057"/>
  <c r="AB27" i="2057"/>
  <c r="Q27" i="2057"/>
  <c r="P27" i="2057"/>
  <c r="AC27" i="2057" s="1"/>
  <c r="AD27" i="2057" s="1"/>
  <c r="O27" i="2057"/>
  <c r="M27" i="2057"/>
  <c r="K27" i="2057"/>
  <c r="AF26" i="2057"/>
  <c r="AB26" i="2057"/>
  <c r="Q26" i="2057"/>
  <c r="P26" i="2057"/>
  <c r="AC26" i="2057" s="1"/>
  <c r="AD26" i="2057" s="1"/>
  <c r="O26" i="2057"/>
  <c r="M26" i="2057"/>
  <c r="K26" i="2057"/>
  <c r="AF25" i="2057"/>
  <c r="AB25" i="2057"/>
  <c r="Q25" i="2057"/>
  <c r="P25" i="2057"/>
  <c r="AC25" i="2057" s="1"/>
  <c r="AD25" i="2057" s="1"/>
  <c r="O25" i="2057"/>
  <c r="M25" i="2057"/>
  <c r="K25" i="2057"/>
  <c r="AF24" i="2057"/>
  <c r="AB24" i="2057"/>
  <c r="Q24" i="2057"/>
  <c r="P24" i="2057"/>
  <c r="AC24" i="2057" s="1"/>
  <c r="O24" i="2057"/>
  <c r="M24" i="2057"/>
  <c r="K24" i="2057"/>
  <c r="AF23" i="2057"/>
  <c r="AB23" i="2057"/>
  <c r="Q23" i="2057"/>
  <c r="P23" i="2057"/>
  <c r="AC23" i="2057" s="1"/>
  <c r="O23" i="2057"/>
  <c r="M23" i="2057"/>
  <c r="K23" i="2057"/>
  <c r="AF22" i="2057"/>
  <c r="Q22" i="2057"/>
  <c r="P22" i="2057"/>
  <c r="AC22" i="2057" s="1"/>
  <c r="AF21" i="2057"/>
  <c r="AB21" i="2057"/>
  <c r="Q21" i="2057"/>
  <c r="P21" i="2057" s="1"/>
  <c r="AC21" i="2057" s="1"/>
  <c r="M21" i="2057"/>
  <c r="AF20" i="2057"/>
  <c r="AB20" i="2057"/>
  <c r="Q20" i="2057"/>
  <c r="P20" i="2057"/>
  <c r="AC20" i="2057" s="1"/>
  <c r="O20" i="2057"/>
  <c r="M20" i="2057"/>
  <c r="K20" i="2057"/>
  <c r="AF19" i="2057"/>
  <c r="Q19" i="2057"/>
  <c r="P19" i="2057"/>
  <c r="AC19" i="2057" s="1"/>
  <c r="O19" i="2057"/>
  <c r="AF18" i="2057"/>
  <c r="AB18" i="2057"/>
  <c r="Q18" i="2057"/>
  <c r="P18" i="2057"/>
  <c r="AC18" i="2057" s="1"/>
  <c r="M18" i="2057"/>
  <c r="AF17" i="2057"/>
  <c r="AB17" i="2057"/>
  <c r="Q17" i="2057"/>
  <c r="P17" i="2057"/>
  <c r="AC17" i="2057" s="1"/>
  <c r="AD17" i="2057" s="1"/>
  <c r="O17" i="2057"/>
  <c r="M17" i="2057"/>
  <c r="K17" i="2057"/>
  <c r="AF16" i="2057"/>
  <c r="AB16" i="2057"/>
  <c r="Q16" i="2057"/>
  <c r="P16" i="2057"/>
  <c r="AC16" i="2057" s="1"/>
  <c r="O16" i="2057"/>
  <c r="M16" i="2057"/>
  <c r="K16" i="2057"/>
  <c r="AF15" i="2057"/>
  <c r="AB15" i="2057"/>
  <c r="Q15" i="2057"/>
  <c r="P15" i="2057"/>
  <c r="AC15" i="2057" s="1"/>
  <c r="O15" i="2057"/>
  <c r="M15" i="2057"/>
  <c r="K15" i="2057"/>
  <c r="AF14" i="2057"/>
  <c r="AB14" i="2057"/>
  <c r="Q14" i="2057"/>
  <c r="P14" i="2057" s="1"/>
  <c r="AC14" i="2057" s="1"/>
  <c r="O14" i="2057"/>
  <c r="M14" i="2057"/>
  <c r="AF13" i="2057"/>
  <c r="Q13" i="2057"/>
  <c r="AB13" i="2057"/>
  <c r="AF12" i="2057"/>
  <c r="AB12" i="2057"/>
  <c r="Q12" i="2057"/>
  <c r="P12" i="2057"/>
  <c r="AC12" i="2057" s="1"/>
  <c r="O12" i="2057"/>
  <c r="M12" i="2057"/>
  <c r="K12" i="2057"/>
  <c r="AF11" i="2057"/>
  <c r="AB11" i="2057"/>
  <c r="Q11" i="2057"/>
  <c r="P11" i="2057" s="1"/>
  <c r="AC11" i="2057" s="1"/>
  <c r="O11" i="2057"/>
  <c r="M11" i="2057"/>
  <c r="AF10" i="2057"/>
  <c r="Q10" i="2057"/>
  <c r="AB10" i="2057"/>
  <c r="AF9" i="2057"/>
  <c r="Q9" i="2057"/>
  <c r="P9" i="2057"/>
  <c r="AC9" i="2057" s="1"/>
  <c r="AF8" i="2057"/>
  <c r="AB8" i="2057"/>
  <c r="Q8" i="2057"/>
  <c r="P8" i="2057"/>
  <c r="AC8" i="2057" s="1"/>
  <c r="O8" i="2057"/>
  <c r="M8" i="2057"/>
  <c r="AF6" i="2057"/>
  <c r="AB6" i="2057"/>
  <c r="Q6" i="2057"/>
  <c r="O6" i="2057"/>
  <c r="M6" i="2057"/>
  <c r="L21" i="2056"/>
  <c r="K21" i="2056" s="1"/>
  <c r="L20" i="2056"/>
  <c r="K20" i="2056" s="1"/>
  <c r="L18" i="2056"/>
  <c r="AB18" i="2056" s="1"/>
  <c r="L12" i="2056"/>
  <c r="K12" i="2056"/>
  <c r="AF18" i="2056"/>
  <c r="Q18" i="2056"/>
  <c r="P18" i="2056" s="1"/>
  <c r="AC18" i="2056" s="1"/>
  <c r="AD18" i="2056" s="1"/>
  <c r="O18" i="2056"/>
  <c r="M18" i="2056"/>
  <c r="K18" i="2056"/>
  <c r="L10" i="2056"/>
  <c r="K10" i="2056" s="1"/>
  <c r="L9" i="2056"/>
  <c r="AB9" i="2056" s="1"/>
  <c r="L8" i="2056"/>
  <c r="L7" i="2056"/>
  <c r="O7" i="2056" s="1"/>
  <c r="K9" i="2056"/>
  <c r="K8" i="2056"/>
  <c r="A83" i="2056"/>
  <c r="A84" i="2056" s="1"/>
  <c r="A85" i="2056" s="1"/>
  <c r="A86" i="2056" s="1"/>
  <c r="A87" i="2056" s="1"/>
  <c r="A88" i="2056" s="1"/>
  <c r="AF69" i="2056"/>
  <c r="AF67" i="2056"/>
  <c r="AF66" i="2056"/>
  <c r="AA28" i="2056"/>
  <c r="Z28" i="2056"/>
  <c r="Y28" i="2056"/>
  <c r="X28" i="2056"/>
  <c r="W28" i="2056"/>
  <c r="V28" i="2056"/>
  <c r="U28" i="2056"/>
  <c r="T28" i="2056"/>
  <c r="S28" i="2056"/>
  <c r="R28" i="2056"/>
  <c r="N28" i="2056"/>
  <c r="J28" i="2056"/>
  <c r="I28" i="2056"/>
  <c r="AF27" i="2056"/>
  <c r="AB27" i="2056"/>
  <c r="Q27" i="2056"/>
  <c r="P27" i="2056"/>
  <c r="AC27" i="2056" s="1"/>
  <c r="O27" i="2056"/>
  <c r="M27" i="2056"/>
  <c r="K27" i="2056"/>
  <c r="AF26" i="2056"/>
  <c r="AB26" i="2056"/>
  <c r="Q26" i="2056"/>
  <c r="P26" i="2056"/>
  <c r="AC26" i="2056" s="1"/>
  <c r="O26" i="2056"/>
  <c r="M26" i="2056"/>
  <c r="K26" i="2056"/>
  <c r="AF25" i="2056"/>
  <c r="AB25" i="2056"/>
  <c r="Q25" i="2056"/>
  <c r="P25" i="2056"/>
  <c r="AC25" i="2056" s="1"/>
  <c r="O25" i="2056"/>
  <c r="M25" i="2056"/>
  <c r="K25" i="2056"/>
  <c r="AF24" i="2056"/>
  <c r="AC24" i="2056"/>
  <c r="AB24" i="2056"/>
  <c r="Q24" i="2056"/>
  <c r="P24" i="2056"/>
  <c r="O24" i="2056"/>
  <c r="M24" i="2056"/>
  <c r="K24" i="2056"/>
  <c r="AF23" i="2056"/>
  <c r="AC23" i="2056"/>
  <c r="AB23" i="2056"/>
  <c r="Q23" i="2056"/>
  <c r="P23" i="2056"/>
  <c r="O23" i="2056"/>
  <c r="M23" i="2056"/>
  <c r="K23" i="2056"/>
  <c r="AF22" i="2056"/>
  <c r="AC22" i="2056"/>
  <c r="AB22" i="2056"/>
  <c r="Q22" i="2056"/>
  <c r="P22" i="2056"/>
  <c r="O22" i="2056"/>
  <c r="M22" i="2056"/>
  <c r="K22" i="2056"/>
  <c r="AF21" i="2056"/>
  <c r="Q21" i="2056"/>
  <c r="P21" i="2056"/>
  <c r="AC21" i="2056" s="1"/>
  <c r="AF20" i="2056"/>
  <c r="AB20" i="2056"/>
  <c r="Q20" i="2056"/>
  <c r="P20" i="2056"/>
  <c r="AC20" i="2056" s="1"/>
  <c r="O20" i="2056"/>
  <c r="M20" i="2056"/>
  <c r="AF19" i="2056"/>
  <c r="AB19" i="2056"/>
  <c r="Q19" i="2056"/>
  <c r="P19" i="2056"/>
  <c r="AC19" i="2056" s="1"/>
  <c r="O19" i="2056"/>
  <c r="M19" i="2056"/>
  <c r="K19" i="2056"/>
  <c r="AF17" i="2056"/>
  <c r="AB17" i="2056"/>
  <c r="Q17" i="2056"/>
  <c r="P17" i="2056"/>
  <c r="AC17" i="2056" s="1"/>
  <c r="O17" i="2056"/>
  <c r="M17" i="2056"/>
  <c r="K17" i="2056"/>
  <c r="AF16" i="2056"/>
  <c r="AB16" i="2056"/>
  <c r="Q16" i="2056"/>
  <c r="P16" i="2056"/>
  <c r="AC16" i="2056" s="1"/>
  <c r="O16" i="2056"/>
  <c r="M16" i="2056"/>
  <c r="K16" i="2056"/>
  <c r="AF15" i="2056"/>
  <c r="AB15" i="2056"/>
  <c r="Q15" i="2056"/>
  <c r="P15" i="2056"/>
  <c r="AC15" i="2056" s="1"/>
  <c r="O15" i="2056"/>
  <c r="M15" i="2056"/>
  <c r="K15" i="2056"/>
  <c r="AF14" i="2056"/>
  <c r="AB14" i="2056"/>
  <c r="Q14" i="2056"/>
  <c r="P14" i="2056"/>
  <c r="AC14" i="2056" s="1"/>
  <c r="O14" i="2056"/>
  <c r="M14" i="2056"/>
  <c r="K14" i="2056"/>
  <c r="AF13" i="2056"/>
  <c r="AB13" i="2056"/>
  <c r="Q13" i="2056"/>
  <c r="P13" i="2056"/>
  <c r="AC13" i="2056" s="1"/>
  <c r="O13" i="2056"/>
  <c r="M13" i="2056"/>
  <c r="K13" i="2056"/>
  <c r="AF12" i="2056"/>
  <c r="AB12" i="2056"/>
  <c r="Q12" i="2056"/>
  <c r="P12" i="2056" s="1"/>
  <c r="AC12" i="2056" s="1"/>
  <c r="M12" i="2056"/>
  <c r="O12" i="2056"/>
  <c r="AF11" i="2056"/>
  <c r="AB11" i="2056"/>
  <c r="Q11" i="2056"/>
  <c r="P11" i="2056"/>
  <c r="AC11" i="2056" s="1"/>
  <c r="AD11" i="2056" s="1"/>
  <c r="O11" i="2056"/>
  <c r="M11" i="2056"/>
  <c r="K11" i="2056"/>
  <c r="AF10" i="2056"/>
  <c r="Q10" i="2056"/>
  <c r="O10" i="2056"/>
  <c r="AB10" i="2056"/>
  <c r="AF9" i="2056"/>
  <c r="Q9" i="2056"/>
  <c r="O9" i="2056"/>
  <c r="AF8" i="2056"/>
  <c r="Q8" i="2056"/>
  <c r="AF7" i="2056"/>
  <c r="Q7" i="2056"/>
  <c r="P7" i="2056"/>
  <c r="AC7" i="2056" s="1"/>
  <c r="AF6" i="2056"/>
  <c r="AC6" i="2056"/>
  <c r="AB6" i="2056"/>
  <c r="Q6" i="2056"/>
  <c r="P6" i="2056"/>
  <c r="O6" i="2056"/>
  <c r="M6" i="2056"/>
  <c r="K6" i="2056"/>
  <c r="L21" i="2055"/>
  <c r="L20" i="2055"/>
  <c r="L18" i="2055"/>
  <c r="L12" i="2055"/>
  <c r="L10" i="2055"/>
  <c r="K10" i="2055" s="1"/>
  <c r="L9" i="2055"/>
  <c r="L8" i="2055"/>
  <c r="K8" i="2055" s="1"/>
  <c r="L7" i="2055"/>
  <c r="K7" i="2055" s="1"/>
  <c r="K21" i="2055"/>
  <c r="K20" i="2055"/>
  <c r="K18" i="2055"/>
  <c r="K16" i="2055"/>
  <c r="K14" i="2055"/>
  <c r="K13" i="2055"/>
  <c r="K11" i="2055"/>
  <c r="K9" i="2055"/>
  <c r="K6" i="2055"/>
  <c r="A83" i="2055"/>
  <c r="A84" i="2055" s="1"/>
  <c r="A85" i="2055" s="1"/>
  <c r="A86" i="2055" s="1"/>
  <c r="A87" i="2055" s="1"/>
  <c r="A88" i="2055" s="1"/>
  <c r="AF69" i="2055"/>
  <c r="AF67" i="2055"/>
  <c r="AF66" i="2055"/>
  <c r="AA28" i="2055"/>
  <c r="Z28" i="2055"/>
  <c r="Y28" i="2055"/>
  <c r="X28" i="2055"/>
  <c r="W28" i="2055"/>
  <c r="V28" i="2055"/>
  <c r="U28" i="2055"/>
  <c r="T28" i="2055"/>
  <c r="S28" i="2055"/>
  <c r="R28" i="2055"/>
  <c r="N28" i="2055"/>
  <c r="J28" i="2055"/>
  <c r="I28" i="2055"/>
  <c r="AF27" i="2055"/>
  <c r="AB27" i="2055"/>
  <c r="Q27" i="2055"/>
  <c r="P27" i="2055"/>
  <c r="AC27" i="2055" s="1"/>
  <c r="AD27" i="2055" s="1"/>
  <c r="O27" i="2055"/>
  <c r="M27" i="2055"/>
  <c r="K27" i="2055"/>
  <c r="AF26" i="2055"/>
  <c r="AB26" i="2055"/>
  <c r="Q26" i="2055"/>
  <c r="P26" i="2055"/>
  <c r="AC26" i="2055" s="1"/>
  <c r="O26" i="2055"/>
  <c r="M26" i="2055"/>
  <c r="K26" i="2055"/>
  <c r="AF25" i="2055"/>
  <c r="AB25" i="2055"/>
  <c r="Q25" i="2055"/>
  <c r="P25" i="2055"/>
  <c r="AC25" i="2055" s="1"/>
  <c r="O25" i="2055"/>
  <c r="M25" i="2055"/>
  <c r="K25" i="2055"/>
  <c r="AF24" i="2055"/>
  <c r="AC24" i="2055"/>
  <c r="AB24" i="2055"/>
  <c r="Q24" i="2055"/>
  <c r="P24" i="2055"/>
  <c r="O24" i="2055"/>
  <c r="M24" i="2055"/>
  <c r="K24" i="2055"/>
  <c r="AF23" i="2055"/>
  <c r="AC23" i="2055"/>
  <c r="AB23" i="2055"/>
  <c r="Q23" i="2055"/>
  <c r="P23" i="2055"/>
  <c r="O23" i="2055"/>
  <c r="M23" i="2055"/>
  <c r="K23" i="2055"/>
  <c r="AF22" i="2055"/>
  <c r="AC22" i="2055"/>
  <c r="AB22" i="2055"/>
  <c r="Q22" i="2055"/>
  <c r="P22" i="2055"/>
  <c r="O22" i="2055"/>
  <c r="M22" i="2055"/>
  <c r="K22" i="2055"/>
  <c r="AF21" i="2055"/>
  <c r="Q21" i="2055"/>
  <c r="P21" i="2055"/>
  <c r="AC21" i="2055" s="1"/>
  <c r="AF20" i="2055"/>
  <c r="AB20" i="2055"/>
  <c r="Q20" i="2055"/>
  <c r="P20" i="2055"/>
  <c r="AC20" i="2055" s="1"/>
  <c r="AD20" i="2055" s="1"/>
  <c r="O20" i="2055"/>
  <c r="M20" i="2055"/>
  <c r="AF19" i="2055"/>
  <c r="AB19" i="2055"/>
  <c r="Q19" i="2055"/>
  <c r="P19" i="2055"/>
  <c r="AC19" i="2055" s="1"/>
  <c r="O19" i="2055"/>
  <c r="M19" i="2055"/>
  <c r="K19" i="2055"/>
  <c r="AF18" i="2055"/>
  <c r="Q18" i="2055"/>
  <c r="P18" i="2055"/>
  <c r="AC18" i="2055" s="1"/>
  <c r="AF17" i="2055"/>
  <c r="AB17" i="2055"/>
  <c r="Q17" i="2055"/>
  <c r="P17" i="2055"/>
  <c r="AC17" i="2055" s="1"/>
  <c r="O17" i="2055"/>
  <c r="M17" i="2055"/>
  <c r="K17" i="2055"/>
  <c r="AF16" i="2055"/>
  <c r="AB16" i="2055"/>
  <c r="Q16" i="2055"/>
  <c r="P16" i="2055"/>
  <c r="AC16" i="2055" s="1"/>
  <c r="M16" i="2055"/>
  <c r="O16" i="2055"/>
  <c r="AF15" i="2055"/>
  <c r="AB15" i="2055"/>
  <c r="Q15" i="2055"/>
  <c r="P15" i="2055"/>
  <c r="AC15" i="2055" s="1"/>
  <c r="AD15" i="2055" s="1"/>
  <c r="O15" i="2055"/>
  <c r="M15" i="2055"/>
  <c r="K15" i="2055"/>
  <c r="AF14" i="2055"/>
  <c r="AB14" i="2055"/>
  <c r="Q14" i="2055"/>
  <c r="P14" i="2055" s="1"/>
  <c r="AC14" i="2055" s="1"/>
  <c r="O14" i="2055"/>
  <c r="M14" i="2055"/>
  <c r="AF13" i="2055"/>
  <c r="Q13" i="2055"/>
  <c r="P13" i="2055"/>
  <c r="AC13" i="2055" s="1"/>
  <c r="AF12" i="2055"/>
  <c r="AB12" i="2055"/>
  <c r="Q12" i="2055"/>
  <c r="P12" i="2055"/>
  <c r="AC12" i="2055" s="1"/>
  <c r="O12" i="2055"/>
  <c r="M12" i="2055"/>
  <c r="K12" i="2055"/>
  <c r="AF11" i="2055"/>
  <c r="AB11" i="2055"/>
  <c r="Q11" i="2055"/>
  <c r="P11" i="2055"/>
  <c r="AC11" i="2055" s="1"/>
  <c r="M11" i="2055"/>
  <c r="O11" i="2055"/>
  <c r="AF10" i="2055"/>
  <c r="AB10" i="2055"/>
  <c r="Q10" i="2055"/>
  <c r="P10" i="2055" s="1"/>
  <c r="AC10" i="2055" s="1"/>
  <c r="O10" i="2055"/>
  <c r="M10" i="2055"/>
  <c r="AF9" i="2055"/>
  <c r="Q9" i="2055"/>
  <c r="O9" i="2055"/>
  <c r="AB9" i="2055"/>
  <c r="AF8" i="2055"/>
  <c r="AB8" i="2055"/>
  <c r="Q8" i="2055"/>
  <c r="P8" i="2055" s="1"/>
  <c r="AC8" i="2055" s="1"/>
  <c r="M8" i="2055"/>
  <c r="O8" i="2055"/>
  <c r="AF7" i="2055"/>
  <c r="AB7" i="2055"/>
  <c r="Q7" i="2055"/>
  <c r="O7" i="2055"/>
  <c r="M7" i="2055"/>
  <c r="AF6" i="2055"/>
  <c r="Q6" i="2055"/>
  <c r="O6" i="2055"/>
  <c r="AB6" i="2055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2" i="2054"/>
  <c r="L21" i="2054"/>
  <c r="L19" i="2054"/>
  <c r="K19" i="2054" s="1"/>
  <c r="L17" i="2054"/>
  <c r="K17" i="2054" s="1"/>
  <c r="L14" i="2054"/>
  <c r="K14" i="2054"/>
  <c r="L12" i="2054"/>
  <c r="K12" i="2054" s="1"/>
  <c r="L10" i="2054"/>
  <c r="L9" i="2054"/>
  <c r="K9" i="2054"/>
  <c r="AF9" i="2054"/>
  <c r="Q9" i="2054"/>
  <c r="O9" i="2054"/>
  <c r="AB9" i="2054"/>
  <c r="L8" i="2054"/>
  <c r="L7" i="2054"/>
  <c r="L6" i="2054"/>
  <c r="K6" i="2054" s="1"/>
  <c r="K22" i="2054"/>
  <c r="K21" i="2054"/>
  <c r="K20" i="2054"/>
  <c r="K18" i="2054"/>
  <c r="K13" i="2054"/>
  <c r="K11" i="2054"/>
  <c r="K10" i="2054"/>
  <c r="K7" i="2054"/>
  <c r="A84" i="2054"/>
  <c r="A85" i="2054" s="1"/>
  <c r="A86" i="2054" s="1"/>
  <c r="A87" i="2054" s="1"/>
  <c r="A88" i="2054" s="1"/>
  <c r="A89" i="2054" s="1"/>
  <c r="AF68" i="2054"/>
  <c r="AF67" i="2054"/>
  <c r="AF70" i="2054" s="1"/>
  <c r="AA29" i="2054"/>
  <c r="Z29" i="2054"/>
  <c r="Y29" i="2054"/>
  <c r="X29" i="2054"/>
  <c r="W29" i="2054"/>
  <c r="V29" i="2054"/>
  <c r="U29" i="2054"/>
  <c r="T29" i="2054"/>
  <c r="S29" i="2054"/>
  <c r="R29" i="2054"/>
  <c r="N29" i="2054"/>
  <c r="J29" i="2054"/>
  <c r="I29" i="2054"/>
  <c r="AF28" i="2054"/>
  <c r="AB28" i="2054"/>
  <c r="Q28" i="2054"/>
  <c r="P28" i="2054"/>
  <c r="AC28" i="2054" s="1"/>
  <c r="AD28" i="2054" s="1"/>
  <c r="O28" i="2054"/>
  <c r="M28" i="2054"/>
  <c r="K28" i="2054"/>
  <c r="AF27" i="2054"/>
  <c r="AB27" i="2054"/>
  <c r="Q27" i="2054"/>
  <c r="P27" i="2054"/>
  <c r="AC27" i="2054" s="1"/>
  <c r="AD27" i="2054" s="1"/>
  <c r="O27" i="2054"/>
  <c r="M27" i="2054"/>
  <c r="K27" i="2054"/>
  <c r="AF26" i="2054"/>
  <c r="AB26" i="2054"/>
  <c r="Q26" i="2054"/>
  <c r="P26" i="2054"/>
  <c r="AC26" i="2054" s="1"/>
  <c r="AD26" i="2054" s="1"/>
  <c r="O26" i="2054"/>
  <c r="M26" i="2054"/>
  <c r="K26" i="2054"/>
  <c r="AF25" i="2054"/>
  <c r="AB25" i="2054"/>
  <c r="Q25" i="2054"/>
  <c r="P25" i="2054"/>
  <c r="AC25" i="2054" s="1"/>
  <c r="AD25" i="2054" s="1"/>
  <c r="O25" i="2054"/>
  <c r="M25" i="2054"/>
  <c r="K25" i="2054"/>
  <c r="AF24" i="2054"/>
  <c r="AB24" i="2054"/>
  <c r="Q24" i="2054"/>
  <c r="P24" i="2054"/>
  <c r="AC24" i="2054" s="1"/>
  <c r="O24" i="2054"/>
  <c r="M24" i="2054"/>
  <c r="K24" i="2054"/>
  <c r="AF23" i="2054"/>
  <c r="AC23" i="2054"/>
  <c r="AD23" i="2054" s="1"/>
  <c r="AB23" i="2054"/>
  <c r="Q23" i="2054"/>
  <c r="P23" i="2054"/>
  <c r="O23" i="2054"/>
  <c r="M23" i="2054"/>
  <c r="K23" i="2054"/>
  <c r="AF22" i="2054"/>
  <c r="Q22" i="2054"/>
  <c r="P22" i="2054" s="1"/>
  <c r="AC22" i="2054" s="1"/>
  <c r="AF21" i="2054"/>
  <c r="AB21" i="2054"/>
  <c r="Q21" i="2054"/>
  <c r="P21" i="2054" s="1"/>
  <c r="AC21" i="2054" s="1"/>
  <c r="O21" i="2054"/>
  <c r="M21" i="2054"/>
  <c r="AF20" i="2054"/>
  <c r="AB20" i="2054"/>
  <c r="Q20" i="2054"/>
  <c r="O20" i="2054"/>
  <c r="M20" i="2054"/>
  <c r="P20" i="2054"/>
  <c r="AC20" i="2054" s="1"/>
  <c r="AD20" i="2054" s="1"/>
  <c r="AF19" i="2054"/>
  <c r="Q19" i="2054"/>
  <c r="AF18" i="2054"/>
  <c r="Q18" i="2054"/>
  <c r="P18" i="2054"/>
  <c r="AC18" i="2054" s="1"/>
  <c r="AF17" i="2054"/>
  <c r="AB17" i="2054"/>
  <c r="Q17" i="2054"/>
  <c r="P17" i="2054" s="1"/>
  <c r="AC17" i="2054" s="1"/>
  <c r="O17" i="2054"/>
  <c r="M17" i="2054"/>
  <c r="AF16" i="2054"/>
  <c r="AB16" i="2054"/>
  <c r="Q16" i="2054"/>
  <c r="P16" i="2054"/>
  <c r="AC16" i="2054" s="1"/>
  <c r="O16" i="2054"/>
  <c r="M16" i="2054"/>
  <c r="K16" i="2054"/>
  <c r="AF15" i="2054"/>
  <c r="AB15" i="2054"/>
  <c r="Q15" i="2054"/>
  <c r="P15" i="2054" s="1"/>
  <c r="AC15" i="2054" s="1"/>
  <c r="O15" i="2054"/>
  <c r="M15" i="2054"/>
  <c r="K15" i="2054"/>
  <c r="AF14" i="2054"/>
  <c r="AB14" i="2054"/>
  <c r="Q14" i="2054"/>
  <c r="O14" i="2054"/>
  <c r="M14" i="2054"/>
  <c r="P14" i="2054"/>
  <c r="AC14" i="2054" s="1"/>
  <c r="AF13" i="2054"/>
  <c r="AB13" i="2054"/>
  <c r="Q13" i="2054"/>
  <c r="M13" i="2054"/>
  <c r="P13" i="2054"/>
  <c r="AC13" i="2054" s="1"/>
  <c r="AF12" i="2054"/>
  <c r="Q12" i="2054"/>
  <c r="AF11" i="2054"/>
  <c r="AB11" i="2054"/>
  <c r="Q11" i="2054"/>
  <c r="P11" i="2054"/>
  <c r="AC11" i="2054" s="1"/>
  <c r="O11" i="2054"/>
  <c r="M11" i="2054"/>
  <c r="AF10" i="2054"/>
  <c r="AB10" i="2054"/>
  <c r="Q10" i="2054"/>
  <c r="O10" i="2054"/>
  <c r="M10" i="2054"/>
  <c r="P10" i="2054"/>
  <c r="AC10" i="2054" s="1"/>
  <c r="AF8" i="2054"/>
  <c r="Q8" i="2054"/>
  <c r="M8" i="2054"/>
  <c r="AF7" i="2054"/>
  <c r="Q7" i="2054"/>
  <c r="P7" i="2054"/>
  <c r="AC7" i="2054" s="1"/>
  <c r="AF6" i="2054"/>
  <c r="AB6" i="2054"/>
  <c r="Q6" i="2054"/>
  <c r="P6" i="2054" s="1"/>
  <c r="AC6" i="2054" s="1"/>
  <c r="O6" i="2054"/>
  <c r="M6" i="2054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2053"/>
  <c r="L20" i="2053"/>
  <c r="L19" i="2053"/>
  <c r="K19" i="2053"/>
  <c r="L18" i="2053"/>
  <c r="L17" i="2053"/>
  <c r="L16" i="2053"/>
  <c r="AB16" i="2053" s="1"/>
  <c r="K16" i="2053"/>
  <c r="K14" i="2053"/>
  <c r="L13" i="2053"/>
  <c r="K13" i="2053"/>
  <c r="L12" i="2053"/>
  <c r="L11" i="2053"/>
  <c r="M11" i="2053" s="1"/>
  <c r="K11" i="2053"/>
  <c r="L10" i="2053"/>
  <c r="K10" i="2053"/>
  <c r="L9" i="2053"/>
  <c r="K9" i="2053"/>
  <c r="L8" i="2053"/>
  <c r="M8" i="2053" s="1"/>
  <c r="L7" i="2053"/>
  <c r="K7" i="2053" s="1"/>
  <c r="L6" i="2053"/>
  <c r="AB6" i="2053" s="1"/>
  <c r="K21" i="2053"/>
  <c r="K20" i="2053"/>
  <c r="K18" i="2053"/>
  <c r="K17" i="2053"/>
  <c r="K12" i="2053"/>
  <c r="A84" i="2053"/>
  <c r="A85" i="2053" s="1"/>
  <c r="A86" i="2053" s="1"/>
  <c r="A87" i="2053" s="1"/>
  <c r="A88" i="2053" s="1"/>
  <c r="A83" i="2053"/>
  <c r="AF67" i="2053"/>
  <c r="AF66" i="2053"/>
  <c r="AF69" i="2053" s="1"/>
  <c r="AA28" i="2053"/>
  <c r="Z28" i="2053"/>
  <c r="Y28" i="2053"/>
  <c r="X28" i="2053"/>
  <c r="W28" i="2053"/>
  <c r="V28" i="2053"/>
  <c r="U28" i="2053"/>
  <c r="T28" i="2053"/>
  <c r="S28" i="2053"/>
  <c r="R28" i="2053"/>
  <c r="N28" i="2053"/>
  <c r="J28" i="2053"/>
  <c r="AF27" i="2053"/>
  <c r="AB27" i="2053"/>
  <c r="Q27" i="2053"/>
  <c r="P27" i="2053"/>
  <c r="AC27" i="2053" s="1"/>
  <c r="AD27" i="2053" s="1"/>
  <c r="O27" i="2053"/>
  <c r="M27" i="2053"/>
  <c r="K27" i="2053"/>
  <c r="AF26" i="2053"/>
  <c r="AB26" i="2053"/>
  <c r="Q26" i="2053"/>
  <c r="P26" i="2053"/>
  <c r="AC26" i="2053" s="1"/>
  <c r="AD26" i="2053" s="1"/>
  <c r="O26" i="2053"/>
  <c r="M26" i="2053"/>
  <c r="K26" i="2053"/>
  <c r="AF25" i="2053"/>
  <c r="AB25" i="2053"/>
  <c r="Q25" i="2053"/>
  <c r="P25" i="2053"/>
  <c r="AC25" i="2053" s="1"/>
  <c r="AD25" i="2053" s="1"/>
  <c r="O25" i="2053"/>
  <c r="M25" i="2053"/>
  <c r="K25" i="2053"/>
  <c r="AF24" i="2053"/>
  <c r="AB24" i="2053"/>
  <c r="Q24" i="2053"/>
  <c r="P24" i="2053"/>
  <c r="AC24" i="2053" s="1"/>
  <c r="AD24" i="2053" s="1"/>
  <c r="O24" i="2053"/>
  <c r="M24" i="2053"/>
  <c r="K24" i="2053"/>
  <c r="AF23" i="2053"/>
  <c r="AB23" i="2053"/>
  <c r="Q23" i="2053"/>
  <c r="P23" i="2053"/>
  <c r="AC23" i="2053" s="1"/>
  <c r="AD23" i="2053" s="1"/>
  <c r="O23" i="2053"/>
  <c r="M23" i="2053"/>
  <c r="K23" i="2053"/>
  <c r="AF22" i="2053"/>
  <c r="AB22" i="2053"/>
  <c r="Q22" i="2053"/>
  <c r="P22" i="2053"/>
  <c r="AC22" i="2053" s="1"/>
  <c r="AD22" i="2053" s="1"/>
  <c r="O22" i="2053"/>
  <c r="M22" i="2053"/>
  <c r="K22" i="2053"/>
  <c r="AF21" i="2053"/>
  <c r="AB21" i="2053"/>
  <c r="Q21" i="2053"/>
  <c r="P21" i="2053"/>
  <c r="AC21" i="2053" s="1"/>
  <c r="O21" i="2053"/>
  <c r="M21" i="2053"/>
  <c r="AF20" i="2053"/>
  <c r="AB20" i="2053"/>
  <c r="Q20" i="2053"/>
  <c r="O20" i="2053"/>
  <c r="M20" i="2053"/>
  <c r="P20" i="2053"/>
  <c r="AC20" i="2053" s="1"/>
  <c r="AF19" i="2053"/>
  <c r="AB19" i="2053"/>
  <c r="Q19" i="2053"/>
  <c r="M19" i="2053"/>
  <c r="O19" i="2053"/>
  <c r="AF18" i="2053"/>
  <c r="Q18" i="2053"/>
  <c r="AB18" i="2053"/>
  <c r="AF17" i="2053"/>
  <c r="AB17" i="2053"/>
  <c r="Q17" i="2053"/>
  <c r="P17" i="2053" s="1"/>
  <c r="AC17" i="2053" s="1"/>
  <c r="O17" i="2053"/>
  <c r="M17" i="2053"/>
  <c r="AF16" i="2053"/>
  <c r="Q16" i="2053"/>
  <c r="P16" i="2053" s="1"/>
  <c r="AC16" i="2053" s="1"/>
  <c r="O16" i="2053"/>
  <c r="AF15" i="2053"/>
  <c r="AB15" i="2053"/>
  <c r="Q15" i="2053"/>
  <c r="P15" i="2053"/>
  <c r="AC15" i="2053" s="1"/>
  <c r="AD15" i="2053" s="1"/>
  <c r="O15" i="2053"/>
  <c r="M15" i="2053"/>
  <c r="K15" i="2053"/>
  <c r="AF14" i="2053"/>
  <c r="AB14" i="2053"/>
  <c r="Q14" i="2053"/>
  <c r="P14" i="2053"/>
  <c r="AC14" i="2053" s="1"/>
  <c r="AD14" i="2053" s="1"/>
  <c r="O14" i="2053"/>
  <c r="M14" i="2053"/>
  <c r="AF13" i="2053"/>
  <c r="AB13" i="2053"/>
  <c r="Q13" i="2053"/>
  <c r="P13" i="2053" s="1"/>
  <c r="AC13" i="2053" s="1"/>
  <c r="O13" i="2053"/>
  <c r="M13" i="2053"/>
  <c r="I28" i="2053"/>
  <c r="AF12" i="2053"/>
  <c r="Q12" i="2053"/>
  <c r="P12" i="2053"/>
  <c r="AC12" i="2053" s="1"/>
  <c r="O12" i="2053"/>
  <c r="AB12" i="2053"/>
  <c r="AF11" i="2053"/>
  <c r="Q11" i="2053"/>
  <c r="O11" i="2053"/>
  <c r="AF10" i="2053"/>
  <c r="AB10" i="2053"/>
  <c r="Q10" i="2053"/>
  <c r="M10" i="2053"/>
  <c r="O10" i="2053"/>
  <c r="AF9" i="2053"/>
  <c r="AB9" i="2053"/>
  <c r="Q9" i="2053"/>
  <c r="P9" i="2053" s="1"/>
  <c r="AC9" i="2053" s="1"/>
  <c r="O9" i="2053"/>
  <c r="M9" i="2053"/>
  <c r="AF8" i="2053"/>
  <c r="Q8" i="2053"/>
  <c r="O8" i="2053"/>
  <c r="P8" i="2053"/>
  <c r="AC8" i="2053" s="1"/>
  <c r="AF7" i="2053"/>
  <c r="AB7" i="2053"/>
  <c r="Q7" i="2053"/>
  <c r="M7" i="2053"/>
  <c r="O7" i="2053"/>
  <c r="AF6" i="2053"/>
  <c r="Q6" i="2053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2" i="2052"/>
  <c r="L21" i="2052"/>
  <c r="K21" i="2052" s="1"/>
  <c r="L20" i="2052"/>
  <c r="L19" i="2052"/>
  <c r="O19" i="2052" s="1"/>
  <c r="K19" i="2052"/>
  <c r="L18" i="2052"/>
  <c r="O18" i="2052" s="1"/>
  <c r="L13" i="2052"/>
  <c r="L12" i="2052"/>
  <c r="K12" i="2052"/>
  <c r="L11" i="2052"/>
  <c r="K11" i="2052"/>
  <c r="L9" i="2052"/>
  <c r="K9" i="2052"/>
  <c r="L8" i="2052"/>
  <c r="K8" i="2052" s="1"/>
  <c r="L7" i="2052"/>
  <c r="K7" i="2052"/>
  <c r="K6" i="2052"/>
  <c r="K22" i="2052"/>
  <c r="K20" i="2052"/>
  <c r="K15" i="2052"/>
  <c r="K13" i="2052"/>
  <c r="A85" i="2052"/>
  <c r="A86" i="2052" s="1"/>
  <c r="A87" i="2052" s="1"/>
  <c r="A88" i="2052" s="1"/>
  <c r="A89" i="2052" s="1"/>
  <c r="A84" i="2052"/>
  <c r="AF70" i="2052"/>
  <c r="AF68" i="2052"/>
  <c r="AF67" i="2052"/>
  <c r="AA29" i="2052"/>
  <c r="Z29" i="2052"/>
  <c r="Y29" i="2052"/>
  <c r="X29" i="2052"/>
  <c r="W29" i="2052"/>
  <c r="V29" i="2052"/>
  <c r="U29" i="2052"/>
  <c r="T29" i="2052"/>
  <c r="S29" i="2052"/>
  <c r="R29" i="2052"/>
  <c r="N29" i="2052"/>
  <c r="J29" i="2052"/>
  <c r="AF28" i="2052"/>
  <c r="AB28" i="2052"/>
  <c r="Q28" i="2052"/>
  <c r="P28" i="2052"/>
  <c r="AC28" i="2052" s="1"/>
  <c r="AD28" i="2052" s="1"/>
  <c r="O28" i="2052"/>
  <c r="M28" i="2052"/>
  <c r="K28" i="2052"/>
  <c r="AF27" i="2052"/>
  <c r="AB27" i="2052"/>
  <c r="Q27" i="2052"/>
  <c r="P27" i="2052"/>
  <c r="AC27" i="2052" s="1"/>
  <c r="AD27" i="2052" s="1"/>
  <c r="O27" i="2052"/>
  <c r="M27" i="2052"/>
  <c r="K27" i="2052"/>
  <c r="AF26" i="2052"/>
  <c r="AB26" i="2052"/>
  <c r="Q26" i="2052"/>
  <c r="P26" i="2052"/>
  <c r="AC26" i="2052" s="1"/>
  <c r="AD26" i="2052" s="1"/>
  <c r="O26" i="2052"/>
  <c r="M26" i="2052"/>
  <c r="K26" i="2052"/>
  <c r="AF25" i="2052"/>
  <c r="AB25" i="2052"/>
  <c r="Q25" i="2052"/>
  <c r="P25" i="2052"/>
  <c r="AC25" i="2052" s="1"/>
  <c r="AD25" i="2052" s="1"/>
  <c r="O25" i="2052"/>
  <c r="M25" i="2052"/>
  <c r="K25" i="2052"/>
  <c r="AF24" i="2052"/>
  <c r="AB24" i="2052"/>
  <c r="Q24" i="2052"/>
  <c r="P24" i="2052"/>
  <c r="AC24" i="2052" s="1"/>
  <c r="AD24" i="2052" s="1"/>
  <c r="O24" i="2052"/>
  <c r="M24" i="2052"/>
  <c r="K24" i="2052"/>
  <c r="AF23" i="2052"/>
  <c r="AB23" i="2052"/>
  <c r="Q23" i="2052"/>
  <c r="P23" i="2052"/>
  <c r="AC23" i="2052" s="1"/>
  <c r="AD23" i="2052" s="1"/>
  <c r="O23" i="2052"/>
  <c r="M23" i="2052"/>
  <c r="K23" i="2052"/>
  <c r="AF22" i="2052"/>
  <c r="AB22" i="2052"/>
  <c r="Q22" i="2052"/>
  <c r="P22" i="2052"/>
  <c r="AC22" i="2052" s="1"/>
  <c r="O22" i="2052"/>
  <c r="M22" i="2052"/>
  <c r="AF21" i="2052"/>
  <c r="Q21" i="2052"/>
  <c r="AF20" i="2052"/>
  <c r="AB20" i="2052"/>
  <c r="Q20" i="2052"/>
  <c r="P20" i="2052"/>
  <c r="AC20" i="2052" s="1"/>
  <c r="M20" i="2052"/>
  <c r="O20" i="2052"/>
  <c r="AF19" i="2052"/>
  <c r="AB19" i="2052"/>
  <c r="Q19" i="2052"/>
  <c r="P19" i="2052" s="1"/>
  <c r="AC19" i="2052" s="1"/>
  <c r="M19" i="2052"/>
  <c r="AF18" i="2052"/>
  <c r="Q18" i="2052"/>
  <c r="AF17" i="2052"/>
  <c r="AB17" i="2052"/>
  <c r="Q17" i="2052"/>
  <c r="P17" i="2052"/>
  <c r="AC17" i="2052" s="1"/>
  <c r="O17" i="2052"/>
  <c r="M17" i="2052"/>
  <c r="K17" i="2052"/>
  <c r="AF16" i="2052"/>
  <c r="AB16" i="2052"/>
  <c r="Q16" i="2052"/>
  <c r="P16" i="2052"/>
  <c r="AC16" i="2052" s="1"/>
  <c r="O16" i="2052"/>
  <c r="M16" i="2052"/>
  <c r="K16" i="2052"/>
  <c r="AF15" i="2052"/>
  <c r="AB15" i="2052"/>
  <c r="Q15" i="2052"/>
  <c r="P15" i="2052"/>
  <c r="AC15" i="2052" s="1"/>
  <c r="M15" i="2052"/>
  <c r="O15" i="2052"/>
  <c r="AF14" i="2052"/>
  <c r="AB14" i="2052"/>
  <c r="Q14" i="2052"/>
  <c r="P14" i="2052"/>
  <c r="AC14" i="2052" s="1"/>
  <c r="AD14" i="2052" s="1"/>
  <c r="O14" i="2052"/>
  <c r="M14" i="2052"/>
  <c r="K14" i="2052"/>
  <c r="I14" i="2052"/>
  <c r="I29" i="2052" s="1"/>
  <c r="AF13" i="2052"/>
  <c r="AB13" i="2052"/>
  <c r="Q13" i="2052"/>
  <c r="P13" i="2052" s="1"/>
  <c r="AC13" i="2052" s="1"/>
  <c r="O13" i="2052"/>
  <c r="M13" i="2052"/>
  <c r="AF12" i="2052"/>
  <c r="AB12" i="2052"/>
  <c r="Q12" i="2052"/>
  <c r="P12" i="2052" s="1"/>
  <c r="AC12" i="2052" s="1"/>
  <c r="AD12" i="2052" s="1"/>
  <c r="O12" i="2052"/>
  <c r="M12" i="2052"/>
  <c r="AF11" i="2052"/>
  <c r="Q11" i="2052"/>
  <c r="AF10" i="2052"/>
  <c r="AB10" i="2052"/>
  <c r="Q10" i="2052"/>
  <c r="P10" i="2052"/>
  <c r="AC10" i="2052" s="1"/>
  <c r="O10" i="2052"/>
  <c r="M10" i="2052"/>
  <c r="K10" i="2052"/>
  <c r="AF9" i="2052"/>
  <c r="AB9" i="2052"/>
  <c r="Q9" i="2052"/>
  <c r="M9" i="2052"/>
  <c r="AF8" i="2052"/>
  <c r="Q8" i="2052"/>
  <c r="P8" i="2052" s="1"/>
  <c r="AC8" i="2052" s="1"/>
  <c r="O8" i="2052"/>
  <c r="M8" i="2052"/>
  <c r="AF7" i="2052"/>
  <c r="AB7" i="2052"/>
  <c r="Q7" i="2052"/>
  <c r="P7" i="2052"/>
  <c r="AC7" i="2052" s="1"/>
  <c r="O7" i="2052"/>
  <c r="M7" i="2052"/>
  <c r="AF6" i="2052"/>
  <c r="AB6" i="2052"/>
  <c r="Q6" i="2052"/>
  <c r="O6" i="2052"/>
  <c r="M6" i="2052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AG20" i="16"/>
  <c r="AG12" i="16"/>
  <c r="AG4" i="16"/>
  <c r="AG3" i="16"/>
  <c r="L22" i="2051"/>
  <c r="K22" i="2051" s="1"/>
  <c r="L21" i="2051"/>
  <c r="L20" i="2051"/>
  <c r="L18" i="2051"/>
  <c r="K18" i="2051" s="1"/>
  <c r="L15" i="2051"/>
  <c r="K15" i="2051" s="1"/>
  <c r="L13" i="2051"/>
  <c r="K13" i="2051" s="1"/>
  <c r="L11" i="2051"/>
  <c r="AF7" i="2051"/>
  <c r="AC7" i="2051"/>
  <c r="AD7" i="2051" s="1"/>
  <c r="AB7" i="2051"/>
  <c r="Q7" i="2051"/>
  <c r="P7" i="2051"/>
  <c r="O7" i="2051"/>
  <c r="M7" i="2051"/>
  <c r="K7" i="2051"/>
  <c r="K8" i="2051"/>
  <c r="L6" i="2051"/>
  <c r="K6" i="2051" s="1"/>
  <c r="K21" i="2051"/>
  <c r="K20" i="2051"/>
  <c r="K19" i="2051"/>
  <c r="K11" i="2051"/>
  <c r="AF6" i="2051"/>
  <c r="Q6" i="2051"/>
  <c r="K12" i="2051"/>
  <c r="K9" i="2051"/>
  <c r="A84" i="2051"/>
  <c r="A85" i="2051" s="1"/>
  <c r="A86" i="2051" s="1"/>
  <c r="A87" i="2051" s="1"/>
  <c r="A88" i="2051" s="1"/>
  <c r="A89" i="2051" s="1"/>
  <c r="AF68" i="2051"/>
  <c r="AF67" i="2051"/>
  <c r="AA29" i="2051"/>
  <c r="Z29" i="2051"/>
  <c r="Y29" i="2051"/>
  <c r="X29" i="2051"/>
  <c r="W29" i="2051"/>
  <c r="V29" i="2051"/>
  <c r="U29" i="2051"/>
  <c r="T29" i="2051"/>
  <c r="S29" i="2051"/>
  <c r="R29" i="2051"/>
  <c r="N29" i="2051"/>
  <c r="J29" i="2051"/>
  <c r="AF28" i="2051"/>
  <c r="AB28" i="2051"/>
  <c r="Q28" i="2051"/>
  <c r="P28" i="2051"/>
  <c r="AC28" i="2051" s="1"/>
  <c r="O28" i="2051"/>
  <c r="M28" i="2051"/>
  <c r="K28" i="2051"/>
  <c r="AF27" i="2051"/>
  <c r="AB27" i="2051"/>
  <c r="Q27" i="2051"/>
  <c r="P27" i="2051"/>
  <c r="AC27" i="2051" s="1"/>
  <c r="O27" i="2051"/>
  <c r="M27" i="2051"/>
  <c r="K27" i="2051"/>
  <c r="AF26" i="2051"/>
  <c r="AB26" i="2051"/>
  <c r="Q26" i="2051"/>
  <c r="P26" i="2051"/>
  <c r="AC26" i="2051" s="1"/>
  <c r="O26" i="2051"/>
  <c r="M26" i="2051"/>
  <c r="K26" i="2051"/>
  <c r="AF25" i="2051"/>
  <c r="AB25" i="2051"/>
  <c r="Q25" i="2051"/>
  <c r="P25" i="2051"/>
  <c r="AC25" i="2051" s="1"/>
  <c r="O25" i="2051"/>
  <c r="M25" i="2051"/>
  <c r="K25" i="2051"/>
  <c r="AF24" i="2051"/>
  <c r="AB24" i="2051"/>
  <c r="Q24" i="2051"/>
  <c r="P24" i="2051"/>
  <c r="AC24" i="2051" s="1"/>
  <c r="O24" i="2051"/>
  <c r="M24" i="2051"/>
  <c r="K24" i="2051"/>
  <c r="AF23" i="2051"/>
  <c r="AB23" i="2051"/>
  <c r="Q23" i="2051"/>
  <c r="P23" i="2051"/>
  <c r="AC23" i="2051" s="1"/>
  <c r="O23" i="2051"/>
  <c r="M23" i="2051"/>
  <c r="K23" i="2051"/>
  <c r="AF22" i="2051"/>
  <c r="Q22" i="2051"/>
  <c r="AF21" i="2051"/>
  <c r="Q21" i="2051"/>
  <c r="AF20" i="2051"/>
  <c r="Q20" i="2051"/>
  <c r="AF19" i="2051"/>
  <c r="Q19" i="2051"/>
  <c r="O19" i="2051"/>
  <c r="AB19" i="2051"/>
  <c r="AF18" i="2051"/>
  <c r="AB18" i="2051"/>
  <c r="Q18" i="2051"/>
  <c r="AF17" i="2051"/>
  <c r="AB17" i="2051"/>
  <c r="Q17" i="2051"/>
  <c r="P17" i="2051"/>
  <c r="AC17" i="2051" s="1"/>
  <c r="O17" i="2051"/>
  <c r="M17" i="2051"/>
  <c r="K17" i="2051"/>
  <c r="AF16" i="2051"/>
  <c r="AB16" i="2051"/>
  <c r="Q16" i="2051"/>
  <c r="P16" i="2051"/>
  <c r="AC16" i="2051" s="1"/>
  <c r="O16" i="2051"/>
  <c r="M16" i="2051"/>
  <c r="K16" i="2051"/>
  <c r="AF15" i="2051"/>
  <c r="Q15" i="2051"/>
  <c r="AF14" i="2051"/>
  <c r="AB14" i="2051"/>
  <c r="Q14" i="2051"/>
  <c r="P14" i="2051"/>
  <c r="AC14" i="2051" s="1"/>
  <c r="O14" i="2051"/>
  <c r="M14" i="2051"/>
  <c r="K14" i="2051"/>
  <c r="I14" i="2051"/>
  <c r="I29" i="2051" s="1"/>
  <c r="AF13" i="2051"/>
  <c r="AB13" i="2051"/>
  <c r="Q13" i="2051"/>
  <c r="P13" i="2051" s="1"/>
  <c r="AC13" i="2051" s="1"/>
  <c r="O13" i="2051"/>
  <c r="M13" i="2051"/>
  <c r="AF12" i="2051"/>
  <c r="AB12" i="2051"/>
  <c r="Q12" i="2051"/>
  <c r="P12" i="2051" s="1"/>
  <c r="AC12" i="2051" s="1"/>
  <c r="O12" i="2051"/>
  <c r="M12" i="2051"/>
  <c r="AF11" i="2051"/>
  <c r="AB11" i="2051"/>
  <c r="Q11" i="2051"/>
  <c r="P11" i="2051" s="1"/>
  <c r="AC11" i="2051" s="1"/>
  <c r="O11" i="2051"/>
  <c r="M11" i="2051"/>
  <c r="AF10" i="2051"/>
  <c r="AB10" i="2051"/>
  <c r="Q10" i="2051"/>
  <c r="P10" i="2051"/>
  <c r="AC10" i="2051" s="1"/>
  <c r="O10" i="2051"/>
  <c r="M10" i="2051"/>
  <c r="K10" i="2051"/>
  <c r="AF9" i="2051"/>
  <c r="Q9" i="2051"/>
  <c r="O9" i="2051"/>
  <c r="AB9" i="2051"/>
  <c r="AF8" i="2051"/>
  <c r="AB8" i="2051"/>
  <c r="Q8" i="2051"/>
  <c r="P8" i="2051" s="1"/>
  <c r="AC8" i="2051" s="1"/>
  <c r="O8" i="2051"/>
  <c r="M8" i="2051"/>
  <c r="AE24" i="2069" l="1"/>
  <c r="AE19" i="2069"/>
  <c r="AE16" i="2069"/>
  <c r="AE27" i="2069"/>
  <c r="AE14" i="2069"/>
  <c r="AE7" i="2069"/>
  <c r="AE23" i="2069"/>
  <c r="AE26" i="2069"/>
  <c r="AE10" i="2069"/>
  <c r="AE9" i="2069"/>
  <c r="AE12" i="2069"/>
  <c r="AE17" i="2069"/>
  <c r="AE13" i="2069"/>
  <c r="AE6" i="2069"/>
  <c r="AE21" i="2069"/>
  <c r="AE20" i="2069"/>
  <c r="AE25" i="2069"/>
  <c r="AE28" i="2069"/>
  <c r="AE22" i="2069"/>
  <c r="AE18" i="2069"/>
  <c r="AE8" i="2069"/>
  <c r="AE15" i="2069"/>
  <c r="AE11" i="2069"/>
  <c r="AE19" i="2068"/>
  <c r="AE20" i="2068"/>
  <c r="AE10" i="2068"/>
  <c r="AE17" i="2068"/>
  <c r="AE23" i="2068"/>
  <c r="AE14" i="2068"/>
  <c r="AE13" i="2068"/>
  <c r="AE12" i="2068"/>
  <c r="AE26" i="2068"/>
  <c r="AE21" i="2068"/>
  <c r="AE7" i="2068"/>
  <c r="AE22" i="2068"/>
  <c r="AE16" i="2068"/>
  <c r="AE15" i="2068"/>
  <c r="AE25" i="2068"/>
  <c r="AE6" i="2068"/>
  <c r="AE11" i="2068"/>
  <c r="AE24" i="2068"/>
  <c r="AE8" i="2068"/>
  <c r="AE18" i="2068"/>
  <c r="AE27" i="2068"/>
  <c r="AE28" i="2067"/>
  <c r="AE22" i="2067"/>
  <c r="AE19" i="2067"/>
  <c r="AE16" i="2067"/>
  <c r="AE14" i="2067"/>
  <c r="AE8" i="2067"/>
  <c r="AE6" i="2067"/>
  <c r="AE20" i="2067"/>
  <c r="AE17" i="2067"/>
  <c r="AE11" i="2067"/>
  <c r="AE27" i="2067"/>
  <c r="AE25" i="2067"/>
  <c r="AE23" i="2067"/>
  <c r="AE21" i="2067"/>
  <c r="AE15" i="2067"/>
  <c r="AE12" i="2067"/>
  <c r="AE9" i="2067"/>
  <c r="AE7" i="2067"/>
  <c r="AE24" i="2067"/>
  <c r="AE18" i="2067"/>
  <c r="AE13" i="2067"/>
  <c r="AE10" i="2067"/>
  <c r="AE26" i="2067"/>
  <c r="AD29" i="2066"/>
  <c r="AE27" i="2065"/>
  <c r="AE25" i="2065"/>
  <c r="AE23" i="2065"/>
  <c r="AE21" i="2065"/>
  <c r="AE18" i="2065"/>
  <c r="AE12" i="2065"/>
  <c r="AE13" i="2065"/>
  <c r="AE10" i="2065"/>
  <c r="AE7" i="2065"/>
  <c r="AE15" i="2065"/>
  <c r="AE26" i="2065"/>
  <c r="AE24" i="2065"/>
  <c r="AE22" i="2065"/>
  <c r="AE19" i="2065"/>
  <c r="AE16" i="2065"/>
  <c r="AE8" i="2065"/>
  <c r="AE20" i="2065"/>
  <c r="AE17" i="2065"/>
  <c r="AE9" i="2065"/>
  <c r="AE6" i="2065"/>
  <c r="AE14" i="2065"/>
  <c r="AE11" i="2065"/>
  <c r="AD6" i="2064"/>
  <c r="AC28" i="2064"/>
  <c r="AD20" i="2064"/>
  <c r="P28" i="2064"/>
  <c r="AD7" i="2063"/>
  <c r="M29" i="2063"/>
  <c r="AD10" i="2063"/>
  <c r="AD29" i="2063" s="1"/>
  <c r="AE9" i="2063" s="1"/>
  <c r="P29" i="2063"/>
  <c r="AB29" i="2063"/>
  <c r="AD8" i="2062"/>
  <c r="AD18" i="2062"/>
  <c r="AD9" i="2062"/>
  <c r="P28" i="2062"/>
  <c r="AD12" i="2062"/>
  <c r="M28" i="2062"/>
  <c r="K28" i="2062"/>
  <c r="AB28" i="2062"/>
  <c r="AD6" i="2062"/>
  <c r="AC28" i="2062"/>
  <c r="AD14" i="2061"/>
  <c r="P29" i="2061"/>
  <c r="AD13" i="2061"/>
  <c r="AD19" i="2061"/>
  <c r="AD10" i="2061"/>
  <c r="AB29" i="2061"/>
  <c r="AC29" i="2061"/>
  <c r="AD6" i="2061"/>
  <c r="K29" i="2061"/>
  <c r="AB28" i="2060"/>
  <c r="AD12" i="2060"/>
  <c r="AD8" i="2060"/>
  <c r="AC28" i="2060"/>
  <c r="M28" i="2060"/>
  <c r="P28" i="2060"/>
  <c r="AD20" i="2060"/>
  <c r="AD9" i="2060"/>
  <c r="AD18" i="2059"/>
  <c r="AD13" i="2059"/>
  <c r="AD11" i="2059"/>
  <c r="AD10" i="2059"/>
  <c r="P8" i="2059"/>
  <c r="AC8" i="2059" s="1"/>
  <c r="Q28" i="2059"/>
  <c r="AD7" i="2059"/>
  <c r="AD9" i="2059"/>
  <c r="AD15" i="2059"/>
  <c r="AD14" i="2059"/>
  <c r="AD19" i="2059"/>
  <c r="O6" i="2059"/>
  <c r="AC6" i="2059"/>
  <c r="M8" i="2059"/>
  <c r="AB8" i="2059"/>
  <c r="K28" i="2059"/>
  <c r="P12" i="2059"/>
  <c r="AC12" i="2059" s="1"/>
  <c r="M16" i="2059"/>
  <c r="AB16" i="2059"/>
  <c r="AD16" i="2059" s="1"/>
  <c r="P20" i="2059"/>
  <c r="AC20" i="2059" s="1"/>
  <c r="M12" i="2059"/>
  <c r="AB12" i="2059"/>
  <c r="M20" i="2059"/>
  <c r="AB20" i="2059"/>
  <c r="AG7" i="16"/>
  <c r="AG11" i="16"/>
  <c r="AG15" i="16"/>
  <c r="AG19" i="16"/>
  <c r="AG23" i="16"/>
  <c r="AD9" i="2058"/>
  <c r="P8" i="2058"/>
  <c r="AC8" i="2058" s="1"/>
  <c r="AB8" i="2058"/>
  <c r="M8" i="2058"/>
  <c r="O8" i="2058"/>
  <c r="AD20" i="2058"/>
  <c r="AD22" i="2058"/>
  <c r="AD25" i="2058"/>
  <c r="AD11" i="2058"/>
  <c r="AD17" i="2058"/>
  <c r="AD23" i="2058"/>
  <c r="AD24" i="2058"/>
  <c r="AD16" i="2058"/>
  <c r="AD12" i="2058"/>
  <c r="AD14" i="2058"/>
  <c r="AD19" i="2058"/>
  <c r="AD15" i="2058"/>
  <c r="AD7" i="2058"/>
  <c r="AD18" i="2058"/>
  <c r="K28" i="2058"/>
  <c r="AC6" i="2058"/>
  <c r="M21" i="2058"/>
  <c r="AB21" i="2058"/>
  <c r="L28" i="2058"/>
  <c r="O28" i="2058" s="1"/>
  <c r="M10" i="2058"/>
  <c r="AB10" i="2058"/>
  <c r="AD10" i="2058" s="1"/>
  <c r="M13" i="2058"/>
  <c r="AB13" i="2058"/>
  <c r="AD13" i="2058" s="1"/>
  <c r="M20" i="2058"/>
  <c r="O21" i="2058"/>
  <c r="Q28" i="2058"/>
  <c r="AG6" i="16"/>
  <c r="O22" i="2057"/>
  <c r="AD18" i="2057"/>
  <c r="L29" i="2057"/>
  <c r="O29" i="2057" s="1"/>
  <c r="K9" i="2057"/>
  <c r="K29" i="2057" s="1"/>
  <c r="Q29" i="2057"/>
  <c r="P6" i="2057"/>
  <c r="AC6" i="2057" s="1"/>
  <c r="AD6" i="2057" s="1"/>
  <c r="AD16" i="2057"/>
  <c r="AD20" i="2057"/>
  <c r="AD28" i="2057"/>
  <c r="AF70" i="2057"/>
  <c r="AD14" i="2057"/>
  <c r="AD15" i="2057"/>
  <c r="AD21" i="2057"/>
  <c r="AD11" i="2057"/>
  <c r="AD24" i="2057"/>
  <c r="AD8" i="2057"/>
  <c r="AD23" i="2057"/>
  <c r="AD12" i="2057"/>
  <c r="M9" i="2057"/>
  <c r="AB9" i="2057"/>
  <c r="AD9" i="2057" s="1"/>
  <c r="O10" i="2057"/>
  <c r="O13" i="2057"/>
  <c r="M19" i="2057"/>
  <c r="AB19" i="2057"/>
  <c r="AD19" i="2057" s="1"/>
  <c r="M22" i="2057"/>
  <c r="AB22" i="2057"/>
  <c r="AD22" i="2057" s="1"/>
  <c r="P10" i="2057"/>
  <c r="AC10" i="2057" s="1"/>
  <c r="P13" i="2057"/>
  <c r="AC13" i="2057" s="1"/>
  <c r="M10" i="2057"/>
  <c r="M13" i="2057"/>
  <c r="M7" i="2056"/>
  <c r="AB7" i="2056"/>
  <c r="K7" i="2056"/>
  <c r="M9" i="2056"/>
  <c r="AD27" i="2056"/>
  <c r="P9" i="2056"/>
  <c r="AC9" i="2056" s="1"/>
  <c r="AD9" i="2056" s="1"/>
  <c r="AD22" i="2056"/>
  <c r="AD23" i="2056"/>
  <c r="AD24" i="2056"/>
  <c r="AD26" i="2056"/>
  <c r="AD15" i="2056"/>
  <c r="AD19" i="2056"/>
  <c r="AD25" i="2056"/>
  <c r="L28" i="2056"/>
  <c r="O28" i="2056" s="1"/>
  <c r="Q28" i="2056"/>
  <c r="P8" i="2056"/>
  <c r="AC8" i="2056" s="1"/>
  <c r="AD7" i="2056"/>
  <c r="AD14" i="2056"/>
  <c r="AD13" i="2056"/>
  <c r="AD17" i="2056"/>
  <c r="AD16" i="2056"/>
  <c r="AD20" i="2056"/>
  <c r="AD12" i="2056"/>
  <c r="AD6" i="2056"/>
  <c r="M8" i="2056"/>
  <c r="AB8" i="2056"/>
  <c r="P10" i="2056"/>
  <c r="AC10" i="2056" s="1"/>
  <c r="AD10" i="2056" s="1"/>
  <c r="M21" i="2056"/>
  <c r="AB21" i="2056"/>
  <c r="O8" i="2056"/>
  <c r="O21" i="2056"/>
  <c r="K28" i="2056"/>
  <c r="M10" i="2056"/>
  <c r="AD10" i="2055"/>
  <c r="AD8" i="2055"/>
  <c r="AD22" i="2055"/>
  <c r="AD23" i="2055"/>
  <c r="AD24" i="2055"/>
  <c r="AD26" i="2055"/>
  <c r="Q28" i="2055"/>
  <c r="P7" i="2055"/>
  <c r="AC7" i="2055" s="1"/>
  <c r="AD7" i="2055" s="1"/>
  <c r="AD19" i="2055"/>
  <c r="AD25" i="2055"/>
  <c r="AD12" i="2055"/>
  <c r="AD11" i="2055"/>
  <c r="AD14" i="2055"/>
  <c r="AD17" i="2055"/>
  <c r="AD16" i="2055"/>
  <c r="P6" i="2055"/>
  <c r="P9" i="2055"/>
  <c r="AC9" i="2055" s="1"/>
  <c r="AD9" i="2055" s="1"/>
  <c r="M13" i="2055"/>
  <c r="AB13" i="2055"/>
  <c r="M18" i="2055"/>
  <c r="AB18" i="2055"/>
  <c r="M21" i="2055"/>
  <c r="AB21" i="2055"/>
  <c r="L28" i="2055"/>
  <c r="O28" i="2055" s="1"/>
  <c r="O13" i="2055"/>
  <c r="O18" i="2055"/>
  <c r="O21" i="2055"/>
  <c r="M6" i="2055"/>
  <c r="M9" i="2055"/>
  <c r="AG10" i="16"/>
  <c r="AG14" i="16"/>
  <c r="AG18" i="16"/>
  <c r="AG22" i="16"/>
  <c r="AB19" i="2054"/>
  <c r="P19" i="2054"/>
  <c r="AC19" i="2054" s="1"/>
  <c r="M19" i="2054"/>
  <c r="P12" i="2054"/>
  <c r="AC12" i="2054" s="1"/>
  <c r="L29" i="2054"/>
  <c r="O29" i="2054" s="1"/>
  <c r="P8" i="2054"/>
  <c r="AC8" i="2054" s="1"/>
  <c r="AD24" i="2054"/>
  <c r="K8" i="2054"/>
  <c r="P9" i="2054"/>
  <c r="AC9" i="2054" s="1"/>
  <c r="AD9" i="2054" s="1"/>
  <c r="AB8" i="2054"/>
  <c r="M9" i="2054"/>
  <c r="Q29" i="2054"/>
  <c r="AD16" i="2054"/>
  <c r="AD17" i="2054"/>
  <c r="AD21" i="2054"/>
  <c r="AD10" i="2054"/>
  <c r="AD11" i="2054"/>
  <c r="AD14" i="2054"/>
  <c r="AD15" i="2054"/>
  <c r="AD6" i="2054"/>
  <c r="M7" i="2054"/>
  <c r="AB7" i="2054"/>
  <c r="O8" i="2054"/>
  <c r="M12" i="2054"/>
  <c r="AB12" i="2054"/>
  <c r="O13" i="2054"/>
  <c r="AD13" i="2054" s="1"/>
  <c r="M18" i="2054"/>
  <c r="AB18" i="2054"/>
  <c r="O19" i="2054"/>
  <c r="M22" i="2054"/>
  <c r="AB22" i="2054"/>
  <c r="AD22" i="2054" s="1"/>
  <c r="O7" i="2054"/>
  <c r="K29" i="2054"/>
  <c r="O12" i="2054"/>
  <c r="O18" i="2054"/>
  <c r="O22" i="2054"/>
  <c r="M16" i="2053"/>
  <c r="P11" i="2053"/>
  <c r="AC11" i="2053" s="1"/>
  <c r="AB11" i="2053"/>
  <c r="Q28" i="2053"/>
  <c r="K8" i="2053"/>
  <c r="AB8" i="2053"/>
  <c r="AD8" i="2053" s="1"/>
  <c r="K6" i="2053"/>
  <c r="K28" i="2053" s="1"/>
  <c r="AD9" i="2053"/>
  <c r="AD13" i="2053"/>
  <c r="AD12" i="2053"/>
  <c r="AD16" i="2053"/>
  <c r="AD17" i="2053"/>
  <c r="AD20" i="2053"/>
  <c r="AD21" i="2053"/>
  <c r="AB28" i="2053"/>
  <c r="O6" i="2053"/>
  <c r="P7" i="2053"/>
  <c r="AC7" i="2053" s="1"/>
  <c r="AD7" i="2053" s="1"/>
  <c r="P10" i="2053"/>
  <c r="AC10" i="2053" s="1"/>
  <c r="AD10" i="2053" s="1"/>
  <c r="M12" i="2053"/>
  <c r="O18" i="2053"/>
  <c r="P19" i="2053"/>
  <c r="AC19" i="2053" s="1"/>
  <c r="AD19" i="2053" s="1"/>
  <c r="L28" i="2053"/>
  <c r="O28" i="2053" s="1"/>
  <c r="P6" i="2053"/>
  <c r="AC6" i="2053" s="1"/>
  <c r="AD6" i="2053" s="1"/>
  <c r="P18" i="2053"/>
  <c r="AC18" i="2053" s="1"/>
  <c r="AD18" i="2053" s="1"/>
  <c r="M6" i="2053"/>
  <c r="M18" i="2053"/>
  <c r="AG5" i="16"/>
  <c r="AG9" i="16"/>
  <c r="AG13" i="16"/>
  <c r="AG17" i="16"/>
  <c r="AG21" i="16"/>
  <c r="AG25" i="16"/>
  <c r="O21" i="2052"/>
  <c r="P21" i="2052"/>
  <c r="AC21" i="2052" s="1"/>
  <c r="L29" i="2052"/>
  <c r="O29" i="2052" s="1"/>
  <c r="AD19" i="2052"/>
  <c r="P18" i="2052"/>
  <c r="AC18" i="2052" s="1"/>
  <c r="K18" i="2052"/>
  <c r="K29" i="2052" s="1"/>
  <c r="AD13" i="2052"/>
  <c r="AB11" i="2052"/>
  <c r="P9" i="2052"/>
  <c r="AC9" i="2052" s="1"/>
  <c r="AD9" i="2052" s="1"/>
  <c r="O9" i="2052"/>
  <c r="AB8" i="2052"/>
  <c r="AD8" i="2052" s="1"/>
  <c r="Q29" i="2052"/>
  <c r="P6" i="2052"/>
  <c r="AC6" i="2052" s="1"/>
  <c r="AD6" i="2052" s="1"/>
  <c r="AD17" i="2052"/>
  <c r="AD16" i="2052"/>
  <c r="AD7" i="2052"/>
  <c r="AD10" i="2052"/>
  <c r="AD22" i="2052"/>
  <c r="AD15" i="2052"/>
  <c r="AD20" i="2052"/>
  <c r="O11" i="2052"/>
  <c r="P11" i="2052"/>
  <c r="AC11" i="2052" s="1"/>
  <c r="M18" i="2052"/>
  <c r="AB18" i="2052"/>
  <c r="M21" i="2052"/>
  <c r="AB21" i="2052"/>
  <c r="M11" i="2052"/>
  <c r="O22" i="2051"/>
  <c r="M22" i="2051"/>
  <c r="P22" i="2051"/>
  <c r="AC22" i="2051" s="1"/>
  <c r="AB22" i="2051"/>
  <c r="AD22" i="2051" s="1"/>
  <c r="M18" i="2051"/>
  <c r="O18" i="2051"/>
  <c r="P18" i="2051"/>
  <c r="AC18" i="2051" s="1"/>
  <c r="AD18" i="2051" s="1"/>
  <c r="AB15" i="2051"/>
  <c r="O15" i="2051"/>
  <c r="M15" i="2051"/>
  <c r="P15" i="2051"/>
  <c r="AC15" i="2051" s="1"/>
  <c r="AD15" i="2051" s="1"/>
  <c r="AD23" i="2051"/>
  <c r="AD27" i="2051"/>
  <c r="AF70" i="2051"/>
  <c r="O6" i="2051"/>
  <c r="P6" i="2051"/>
  <c r="AC6" i="2051" s="1"/>
  <c r="AB6" i="2051"/>
  <c r="P21" i="2051"/>
  <c r="AC21" i="2051" s="1"/>
  <c r="P20" i="2051"/>
  <c r="AC20" i="2051" s="1"/>
  <c r="O20" i="2051"/>
  <c r="Q29" i="2051"/>
  <c r="AD13" i="2051"/>
  <c r="AD14" i="2051"/>
  <c r="AD26" i="2051"/>
  <c r="AD11" i="2051"/>
  <c r="AD25" i="2051"/>
  <c r="AD10" i="2051"/>
  <c r="AD24" i="2051"/>
  <c r="AD28" i="2051"/>
  <c r="M6" i="2051"/>
  <c r="AD8" i="2051"/>
  <c r="AD17" i="2051"/>
  <c r="AD16" i="2051"/>
  <c r="AD12" i="2051"/>
  <c r="K29" i="2051"/>
  <c r="P9" i="2051"/>
  <c r="AC9" i="2051" s="1"/>
  <c r="AD9" i="2051" s="1"/>
  <c r="P19" i="2051"/>
  <c r="AC19" i="2051" s="1"/>
  <c r="AD19" i="2051" s="1"/>
  <c r="M21" i="2051"/>
  <c r="AB21" i="2051"/>
  <c r="M20" i="2051"/>
  <c r="AB20" i="2051"/>
  <c r="O21" i="2051"/>
  <c r="L29" i="2051"/>
  <c r="O29" i="2051" s="1"/>
  <c r="M9" i="2051"/>
  <c r="M19" i="2051"/>
  <c r="AE28" i="2066" l="1"/>
  <c r="AE26" i="2066"/>
  <c r="AE24" i="2066"/>
  <c r="AE22" i="2066"/>
  <c r="AE18" i="2066"/>
  <c r="AE13" i="2066"/>
  <c r="AE10" i="2066"/>
  <c r="AE7" i="2066"/>
  <c r="AE19" i="2066"/>
  <c r="AE27" i="2066"/>
  <c r="AE11" i="2066"/>
  <c r="AE16" i="2066"/>
  <c r="AE14" i="2066"/>
  <c r="AE25" i="2066"/>
  <c r="AE17" i="2066"/>
  <c r="AE21" i="2066"/>
  <c r="AE15" i="2066"/>
  <c r="AE12" i="2066"/>
  <c r="AE6" i="2066"/>
  <c r="AE23" i="2066"/>
  <c r="AE20" i="2066"/>
  <c r="AD28" i="2064"/>
  <c r="AE28" i="2063"/>
  <c r="AE26" i="2063"/>
  <c r="AE24" i="2063"/>
  <c r="AE22" i="2063"/>
  <c r="AE19" i="2063"/>
  <c r="AE13" i="2063"/>
  <c r="AE6" i="2063"/>
  <c r="AE12" i="2063"/>
  <c r="AE20" i="2063"/>
  <c r="AE16" i="2063"/>
  <c r="AE14" i="2063"/>
  <c r="AE11" i="2063"/>
  <c r="AE7" i="2063"/>
  <c r="AE27" i="2063"/>
  <c r="AE25" i="2063"/>
  <c r="AE23" i="2063"/>
  <c r="AE21" i="2063"/>
  <c r="AE17" i="2063"/>
  <c r="AE8" i="2063"/>
  <c r="AE18" i="2063"/>
  <c r="AE15" i="2063"/>
  <c r="AE10" i="2063"/>
  <c r="AD28" i="2062"/>
  <c r="AE25" i="2062" s="1"/>
  <c r="AD29" i="2061"/>
  <c r="AD28" i="2060"/>
  <c r="AE27" i="2060" s="1"/>
  <c r="AD8" i="2059"/>
  <c r="AB28" i="2059"/>
  <c r="M28" i="2059"/>
  <c r="AD12" i="2059"/>
  <c r="AD20" i="2059"/>
  <c r="P28" i="2059"/>
  <c r="AC28" i="2059"/>
  <c r="AD6" i="2059"/>
  <c r="AD8" i="2058"/>
  <c r="P28" i="2058"/>
  <c r="AB28" i="2058"/>
  <c r="M28" i="2058"/>
  <c r="AD21" i="2058"/>
  <c r="AD6" i="2058"/>
  <c r="AD28" i="2058" s="1"/>
  <c r="AC28" i="2058"/>
  <c r="M29" i="2057"/>
  <c r="AD13" i="2057"/>
  <c r="AD29" i="2057" s="1"/>
  <c r="AE7" i="2057" s="1"/>
  <c r="AD10" i="2057"/>
  <c r="AB29" i="2057"/>
  <c r="P29" i="2057"/>
  <c r="AC29" i="2057"/>
  <c r="AB28" i="2056"/>
  <c r="M28" i="2056"/>
  <c r="AD8" i="2056"/>
  <c r="AD21" i="2056"/>
  <c r="AC28" i="2056"/>
  <c r="P28" i="2056"/>
  <c r="AD18" i="2055"/>
  <c r="AD21" i="2055"/>
  <c r="AD13" i="2055"/>
  <c r="AB28" i="2055"/>
  <c r="M28" i="2055"/>
  <c r="AC6" i="2055"/>
  <c r="P28" i="2055"/>
  <c r="K28" i="2055"/>
  <c r="AD19" i="2054"/>
  <c r="P29" i="2054"/>
  <c r="AC29" i="2054"/>
  <c r="AD8" i="2054"/>
  <c r="AD18" i="2054"/>
  <c r="AD7" i="2054"/>
  <c r="AD12" i="2054"/>
  <c r="M29" i="2054"/>
  <c r="AB29" i="2054"/>
  <c r="M28" i="2053"/>
  <c r="AD11" i="2053"/>
  <c r="AD28" i="2053" s="1"/>
  <c r="AE27" i="2053" s="1"/>
  <c r="P28" i="2053"/>
  <c r="AC28" i="2053"/>
  <c r="AD21" i="2052"/>
  <c r="AD18" i="2052"/>
  <c r="AC29" i="2052"/>
  <c r="M29" i="2052"/>
  <c r="AB29" i="2052"/>
  <c r="AD11" i="2052"/>
  <c r="AD29" i="2052" s="1"/>
  <c r="P29" i="2052"/>
  <c r="AD6" i="2051"/>
  <c r="AD21" i="2051"/>
  <c r="AD20" i="2051"/>
  <c r="M29" i="2051"/>
  <c r="P29" i="2051"/>
  <c r="AC29" i="2051"/>
  <c r="AB29" i="2051"/>
  <c r="AE27" i="2064" l="1"/>
  <c r="AE25" i="2064"/>
  <c r="AE21" i="2064"/>
  <c r="AE16" i="2064"/>
  <c r="AE14" i="2064"/>
  <c r="AE19" i="2064"/>
  <c r="AE17" i="2064"/>
  <c r="AE12" i="2064"/>
  <c r="AE10" i="2064"/>
  <c r="AE6" i="2064"/>
  <c r="AE24" i="2064"/>
  <c r="AE22" i="2064"/>
  <c r="AE20" i="2064"/>
  <c r="AE15" i="2064"/>
  <c r="AE13" i="2064"/>
  <c r="AE7" i="2064"/>
  <c r="AE8" i="2064"/>
  <c r="AE26" i="2064"/>
  <c r="AE18" i="2064"/>
  <c r="AE11" i="2064"/>
  <c r="AE9" i="2064"/>
  <c r="AE23" i="2064"/>
  <c r="AE6" i="2062"/>
  <c r="AE17" i="2062"/>
  <c r="AE12" i="2062"/>
  <c r="AE24" i="2062"/>
  <c r="AE15" i="2062"/>
  <c r="AE18" i="2062"/>
  <c r="AE26" i="2062"/>
  <c r="AE21" i="2062"/>
  <c r="AE14" i="2062"/>
  <c r="AE19" i="2062"/>
  <c r="AE27" i="2062"/>
  <c r="AE8" i="2062"/>
  <c r="AE20" i="2062"/>
  <c r="AE10" i="2062"/>
  <c r="AE7" i="2062"/>
  <c r="AE23" i="2062"/>
  <c r="AE9" i="2062"/>
  <c r="AE11" i="2062"/>
  <c r="AE22" i="2062"/>
  <c r="AE16" i="2062"/>
  <c r="AE13" i="2062"/>
  <c r="AE28" i="2061"/>
  <c r="AE8" i="2061"/>
  <c r="AE24" i="2061"/>
  <c r="AE18" i="2061"/>
  <c r="AE11" i="2061"/>
  <c r="AE25" i="2061"/>
  <c r="AE14" i="2061"/>
  <c r="AE21" i="2061"/>
  <c r="AE17" i="2061"/>
  <c r="AE16" i="2061"/>
  <c r="AE10" i="2061"/>
  <c r="AE12" i="2061"/>
  <c r="AE26" i="2061"/>
  <c r="AE20" i="2061"/>
  <c r="AE22" i="2061"/>
  <c r="AE19" i="2061"/>
  <c r="AE9" i="2061"/>
  <c r="AE27" i="2061"/>
  <c r="AE13" i="2061"/>
  <c r="AE15" i="2061"/>
  <c r="AE7" i="2061"/>
  <c r="AE23" i="2061"/>
  <c r="AE6" i="2061"/>
  <c r="AE16" i="2060"/>
  <c r="AE8" i="2060"/>
  <c r="AE9" i="2060"/>
  <c r="AE22" i="2060"/>
  <c r="AE19" i="2060"/>
  <c r="AE15" i="2060"/>
  <c r="AE25" i="2060"/>
  <c r="AE12" i="2060"/>
  <c r="AE14" i="2060"/>
  <c r="AE26" i="2060"/>
  <c r="AE10" i="2060"/>
  <c r="AE21" i="2060"/>
  <c r="AE17" i="2060"/>
  <c r="AE20" i="2060"/>
  <c r="AE13" i="2060"/>
  <c r="AE23" i="2060"/>
  <c r="AE6" i="2060"/>
  <c r="AE11" i="2060"/>
  <c r="AE24" i="2060"/>
  <c r="AE7" i="2060"/>
  <c r="AE18" i="2060"/>
  <c r="AD28" i="2059"/>
  <c r="AE25" i="2059" s="1"/>
  <c r="AE27" i="2058"/>
  <c r="AE25" i="2058"/>
  <c r="AE21" i="2058"/>
  <c r="AE18" i="2058"/>
  <c r="AE7" i="2058"/>
  <c r="AE16" i="2058"/>
  <c r="AE14" i="2058"/>
  <c r="AE11" i="2058"/>
  <c r="AE8" i="2058"/>
  <c r="AE13" i="2058"/>
  <c r="AE26" i="2058"/>
  <c r="AE24" i="2058"/>
  <c r="AE22" i="2058"/>
  <c r="AE19" i="2058"/>
  <c r="AE17" i="2058"/>
  <c r="AE12" i="2058"/>
  <c r="AE9" i="2058"/>
  <c r="AE15" i="2058"/>
  <c r="AE6" i="2058"/>
  <c r="AE20" i="2058"/>
  <c r="AE10" i="2058"/>
  <c r="AE23" i="2058"/>
  <c r="AE28" i="2057"/>
  <c r="AE26" i="2057"/>
  <c r="AE24" i="2057"/>
  <c r="AE22" i="2057"/>
  <c r="AE19" i="2057"/>
  <c r="AE12" i="2057"/>
  <c r="AE9" i="2057"/>
  <c r="AE13" i="2057"/>
  <c r="AE27" i="2057"/>
  <c r="AE25" i="2057"/>
  <c r="AE23" i="2057"/>
  <c r="AE20" i="2057"/>
  <c r="AE11" i="2057"/>
  <c r="AE6" i="2057"/>
  <c r="AE21" i="2057"/>
  <c r="AE18" i="2057"/>
  <c r="AE16" i="2057"/>
  <c r="AE14" i="2057"/>
  <c r="AE8" i="2057"/>
  <c r="AE17" i="2057"/>
  <c r="AE15" i="2057"/>
  <c r="AE10" i="2057"/>
  <c r="AD28" i="2056"/>
  <c r="AE18" i="2056" s="1"/>
  <c r="AC28" i="2055"/>
  <c r="AD6" i="2055"/>
  <c r="AD28" i="2055" s="1"/>
  <c r="AD29" i="2054"/>
  <c r="AE14" i="2053"/>
  <c r="AE7" i="2053"/>
  <c r="AE24" i="2053"/>
  <c r="AE21" i="2053"/>
  <c r="AE15" i="2053"/>
  <c r="AE16" i="2053"/>
  <c r="AE10" i="2053"/>
  <c r="AE26" i="2053"/>
  <c r="AE23" i="2053"/>
  <c r="AE8" i="2053"/>
  <c r="AE20" i="2053"/>
  <c r="AE19" i="2053"/>
  <c r="AE6" i="2053"/>
  <c r="AE12" i="2053"/>
  <c r="AE25" i="2053"/>
  <c r="AE13" i="2053"/>
  <c r="AE11" i="2053"/>
  <c r="AE18" i="2053"/>
  <c r="AE22" i="2053"/>
  <c r="AE9" i="2053"/>
  <c r="AE17" i="2053"/>
  <c r="AE28" i="2052"/>
  <c r="AE26" i="2052"/>
  <c r="AE24" i="2052"/>
  <c r="AE22" i="2052"/>
  <c r="AE16" i="2052"/>
  <c r="AE13" i="2052"/>
  <c r="AE10" i="2052"/>
  <c r="AE8" i="2052"/>
  <c r="AE6" i="2052"/>
  <c r="AE19" i="2052"/>
  <c r="AE14" i="2052"/>
  <c r="AE11" i="2052"/>
  <c r="AE27" i="2052"/>
  <c r="AE25" i="2052"/>
  <c r="AE23" i="2052"/>
  <c r="AE20" i="2052"/>
  <c r="AE17" i="2052"/>
  <c r="AE15" i="2052"/>
  <c r="AE9" i="2052"/>
  <c r="AE7" i="2052"/>
  <c r="AE21" i="2052"/>
  <c r="AE18" i="2052"/>
  <c r="AE12" i="2052"/>
  <c r="AD29" i="2051"/>
  <c r="AE7" i="2051"/>
  <c r="AE28" i="2051"/>
  <c r="AE6" i="2051"/>
  <c r="AE23" i="2051"/>
  <c r="AE12" i="2051"/>
  <c r="AE21" i="2051"/>
  <c r="AE16" i="2051"/>
  <c r="AE26" i="2051"/>
  <c r="AE17" i="2051"/>
  <c r="AE27" i="2051"/>
  <c r="AE14" i="2051"/>
  <c r="AE8" i="2051"/>
  <c r="AE22" i="2051"/>
  <c r="AE20" i="2051"/>
  <c r="AE10" i="2051"/>
  <c r="AE19" i="2051"/>
  <c r="AE13" i="2051"/>
  <c r="AE24" i="2051"/>
  <c r="AE15" i="2051"/>
  <c r="AE25" i="2051"/>
  <c r="AE11" i="2051"/>
  <c r="AE9" i="2051"/>
  <c r="AE18" i="2051"/>
  <c r="AE13" i="2059" l="1"/>
  <c r="AE6" i="2059"/>
  <c r="AE17" i="2059"/>
  <c r="AE14" i="2059"/>
  <c r="AE20" i="2059"/>
  <c r="AE19" i="2059"/>
  <c r="AE10" i="2059"/>
  <c r="AE26" i="2059"/>
  <c r="AE27" i="2059"/>
  <c r="AE18" i="2059"/>
  <c r="AE21" i="2059"/>
  <c r="AE15" i="2059"/>
  <c r="AE22" i="2059"/>
  <c r="AE9" i="2059"/>
  <c r="AE8" i="2059"/>
  <c r="AE23" i="2059"/>
  <c r="AE7" i="2059"/>
  <c r="AE12" i="2059"/>
  <c r="AE24" i="2059"/>
  <c r="AE11" i="2059"/>
  <c r="AE16" i="2059"/>
  <c r="AE26" i="2056"/>
  <c r="AE15" i="2056"/>
  <c r="AE10" i="2056"/>
  <c r="AE16" i="2056"/>
  <c r="AE21" i="2056"/>
  <c r="AE17" i="2056"/>
  <c r="AE19" i="2056"/>
  <c r="AE9" i="2056"/>
  <c r="AE8" i="2056"/>
  <c r="AE23" i="2056"/>
  <c r="AE7" i="2056"/>
  <c r="AE20" i="2056"/>
  <c r="AE22" i="2056"/>
  <c r="AE12" i="2056"/>
  <c r="AE11" i="2056"/>
  <c r="AE25" i="2056"/>
  <c r="AE13" i="2056"/>
  <c r="AE6" i="2056"/>
  <c r="AE24" i="2056"/>
  <c r="AE14" i="2056"/>
  <c r="AE27" i="2056"/>
  <c r="AE27" i="2055"/>
  <c r="AE25" i="2055"/>
  <c r="AE21" i="2055"/>
  <c r="AE18" i="2055"/>
  <c r="AE15" i="2055"/>
  <c r="AE13" i="2055"/>
  <c r="AE10" i="2055"/>
  <c r="AE16" i="2055"/>
  <c r="AE11" i="2055"/>
  <c r="AE8" i="2055"/>
  <c r="AE26" i="2055"/>
  <c r="AE24" i="2055"/>
  <c r="AE22" i="2055"/>
  <c r="AE19" i="2055"/>
  <c r="AE14" i="2055"/>
  <c r="AE9" i="2055"/>
  <c r="AE6" i="2055"/>
  <c r="AE20" i="2055"/>
  <c r="AE17" i="2055"/>
  <c r="AE12" i="2055"/>
  <c r="AE7" i="2055"/>
  <c r="AE23" i="2055"/>
  <c r="AE15" i="2054"/>
  <c r="AE9" i="2054"/>
  <c r="AE6" i="2054"/>
  <c r="AE14" i="2054"/>
  <c r="AE7" i="2054"/>
  <c r="AE25" i="2054"/>
  <c r="AE11" i="2054"/>
  <c r="AE27" i="2054"/>
  <c r="AE26" i="2054"/>
  <c r="AE19" i="2054"/>
  <c r="AE18" i="2054"/>
  <c r="AE17" i="2054"/>
  <c r="AE16" i="2054"/>
  <c r="AE24" i="2054"/>
  <c r="AE22" i="2054"/>
  <c r="AE21" i="2054"/>
  <c r="AE20" i="2054"/>
  <c r="AE13" i="2054"/>
  <c r="AE12" i="2054"/>
  <c r="AE28" i="2054"/>
  <c r="AE10" i="2054"/>
  <c r="AE23" i="2054"/>
  <c r="AE8" i="2054"/>
</calcChain>
</file>

<file path=xl/sharedStrings.xml><?xml version="1.0" encoding="utf-8"?>
<sst xmlns="http://schemas.openxmlformats.org/spreadsheetml/2006/main" count="5742" uniqueCount="573">
  <si>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</si>
  <si>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</si>
  <si>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</si>
  <si>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</si>
  <si>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</si>
  <si>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</si>
  <si>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</si>
  <si>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</si>
  <si>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</si>
  <si>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</si>
  <si>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</si>
  <si>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</si>
  <si>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</si>
  <si>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</si>
  <si>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</si>
  <si>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</si>
  <si>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</si>
  <si>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</si>
  <si>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</si>
  <si>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</si>
  <si>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</si>
  <si>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</si>
  <si>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</si>
  <si>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</si>
  <si>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</si>
  <si>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</si>
  <si>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</si>
  <si>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</si>
  <si>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</si>
  <si>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</si>
  <si>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</si>
  <si>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</si>
  <si>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</si>
  <si>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</si>
  <si>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</si>
  <si>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</si>
  <si>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</si>
  <si>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</si>
  <si>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</si>
  <si>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</si>
  <si>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</si>
  <si>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</si>
  <si>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</si>
  <si>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</si>
  <si>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</si>
  <si>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</si>
  <si>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</si>
  <si>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</si>
  <si>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</si>
  <si>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</si>
  <si>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</si>
  <si>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</si>
  <si>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</si>
  <si>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</si>
  <si>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</si>
  <si>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</si>
  <si>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</si>
  <si>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</si>
  <si>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</si>
  <si>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</si>
  <si>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</si>
  <si>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</si>
  <si>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</si>
  <si>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</si>
  <si>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</si>
  <si>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</si>
  <si>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</si>
  <si>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</si>
  <si>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</si>
  <si>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</si>
  <si>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</si>
  <si>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</si>
  <si>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</si>
  <si>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</si>
  <si>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</si>
  <si>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</si>
  <si>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</si>
  <si>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</si>
  <si>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</si>
  <si>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</si>
  <si>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</si>
  <si>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</si>
  <si>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</si>
  <si>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</si>
  <si>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</si>
  <si>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</si>
  <si>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</si>
  <si>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</si>
  <si>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</si>
  <si>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</si>
  <si>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</si>
  <si>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</si>
  <si>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</si>
  <si>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</si>
  <si>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</si>
  <si>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</si>
  <si>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</si>
  <si>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</si>
  <si>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</si>
  <si>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</si>
  <si>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</si>
  <si>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</si>
  <si>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</si>
  <si>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</si>
  <si>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</si>
  <si>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</si>
  <si>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</si>
  <si>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</si>
  <si>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</si>
  <si>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</si>
  <si>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</si>
  <si>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</si>
  <si>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</si>
  <si>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</si>
  <si>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</si>
  <si>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</si>
  <si>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</si>
  <si>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</si>
  <si>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</si>
  <si>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</si>
  <si>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품  명</t>
    <phoneticPr fontId="2" type="noConversion"/>
  </si>
  <si>
    <t>COVER</t>
    <phoneticPr fontId="2" type="noConversion"/>
  </si>
  <si>
    <t>발주분양산</t>
    <phoneticPr fontId="2" type="noConversion"/>
  </si>
  <si>
    <t>SF2255</t>
    <phoneticPr fontId="2" type="noConversion"/>
  </si>
  <si>
    <t>SGF2030</t>
    <phoneticPr fontId="2" type="noConversion"/>
  </si>
  <si>
    <t>SGF2033 N/P</t>
    <phoneticPr fontId="2" type="noConversion"/>
  </si>
  <si>
    <t>K-AR3533-1A</t>
    <phoneticPr fontId="2" type="noConversion"/>
  </si>
  <si>
    <t>72P</t>
    <phoneticPr fontId="2" type="noConversion"/>
  </si>
  <si>
    <t>K-AR3464-1A</t>
    <phoneticPr fontId="2" type="noConversion"/>
  </si>
  <si>
    <t>ACTUATOR</t>
    <phoneticPr fontId="2" type="noConversion"/>
  </si>
  <si>
    <t>HICON</t>
    <phoneticPr fontId="2" type="noConversion"/>
  </si>
  <si>
    <t>SGF2041</t>
    <phoneticPr fontId="2" type="noConversion"/>
  </si>
  <si>
    <t>JD4901</t>
    <phoneticPr fontId="2" type="noConversion"/>
  </si>
  <si>
    <t>SLIDER</t>
    <phoneticPr fontId="2" type="noConversion"/>
  </si>
  <si>
    <t>KR6463-GA180PLA</t>
  </si>
  <si>
    <t>EEEEEEEEEEEEEEEEEEEEEEEEE</t>
    <phoneticPr fontId="2" type="noConversion"/>
  </si>
  <si>
    <t>K-JR01887-A221ATA</t>
    <phoneticPr fontId="2" type="noConversion"/>
  </si>
  <si>
    <t>K-AR3532-1A</t>
    <phoneticPr fontId="2" type="noConversion"/>
  </si>
  <si>
    <t>31호기</t>
    <phoneticPr fontId="2" type="noConversion"/>
  </si>
  <si>
    <t>32호기</t>
    <phoneticPr fontId="2" type="noConversion"/>
  </si>
  <si>
    <t>33호기</t>
    <phoneticPr fontId="2" type="noConversion"/>
  </si>
  <si>
    <t>34호기</t>
    <phoneticPr fontId="2" type="noConversion"/>
  </si>
  <si>
    <t>35호기</t>
    <phoneticPr fontId="2" type="noConversion"/>
  </si>
  <si>
    <t>36호기</t>
    <phoneticPr fontId="2" type="noConversion"/>
  </si>
  <si>
    <t>7301</t>
    <phoneticPr fontId="2" type="noConversion"/>
  </si>
  <si>
    <t>라인</t>
    <phoneticPr fontId="2" type="noConversion"/>
  </si>
  <si>
    <t>LCP ESD</t>
    <phoneticPr fontId="2" type="noConversion"/>
  </si>
  <si>
    <t>SGF2033</t>
    <phoneticPr fontId="2" type="noConversion"/>
  </si>
  <si>
    <t>2</t>
    <phoneticPr fontId="2" type="noConversion"/>
  </si>
  <si>
    <t>전일 ISSUE 사항(01일)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</si>
  <si>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</si>
  <si>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</si>
  <si>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</si>
  <si>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SF2255 I/V</t>
    <phoneticPr fontId="2" type="noConversion"/>
  </si>
  <si>
    <t>7</t>
    <phoneticPr fontId="2" type="noConversion"/>
  </si>
  <si>
    <t>ADAPTER</t>
    <phoneticPr fontId="2" type="noConversion"/>
  </si>
  <si>
    <t>BLUE</t>
    <phoneticPr fontId="2" type="noConversion"/>
  </si>
  <si>
    <t>LATCH</t>
    <phoneticPr fontId="2" type="noConversion"/>
  </si>
  <si>
    <t>NEW Pattern Cover</t>
    <phoneticPr fontId="2" type="noConversion"/>
  </si>
  <si>
    <t>8301</t>
    <phoneticPr fontId="2" type="noConversion"/>
  </si>
  <si>
    <t>HSB05-M001B1</t>
    <phoneticPr fontId="2" type="noConversion"/>
  </si>
  <si>
    <t>AMB1930A-KAA-R3</t>
    <phoneticPr fontId="2" type="noConversion"/>
  </si>
  <si>
    <t>AMB1901B-JAA-R1</t>
    <phoneticPr fontId="2" type="noConversion"/>
  </si>
  <si>
    <t>K-JR01928-G01AWA</t>
    <phoneticPr fontId="2" type="noConversion"/>
  </si>
  <si>
    <t>AMB0114G-JAA-R1</t>
    <phoneticPr fontId="2" type="noConversion"/>
  </si>
  <si>
    <t>발주분양산-&gt;오조립수리</t>
    <phoneticPr fontId="2" type="noConversion"/>
  </si>
  <si>
    <t>AM0148A-K-R2</t>
    <phoneticPr fontId="2" type="noConversion"/>
  </si>
  <si>
    <t>AMB20G2B-KAA-R3</t>
    <phoneticPr fontId="2" type="noConversion"/>
  </si>
  <si>
    <t>AMB0359A-KAA-R1</t>
    <phoneticPr fontId="2" type="noConversion"/>
  </si>
  <si>
    <t>HSB05-M007B3</t>
    <phoneticPr fontId="2" type="noConversion"/>
  </si>
  <si>
    <t>AMB09J4B-KAA-R4</t>
    <phoneticPr fontId="2" type="noConversion"/>
  </si>
  <si>
    <t>CARD HOUSING</t>
    <phoneticPr fontId="2" type="noConversion"/>
  </si>
  <si>
    <t>BC05-29H1</t>
    <phoneticPr fontId="2" type="noConversion"/>
  </si>
  <si>
    <t>당일 진행 사항(01일)</t>
    <phoneticPr fontId="2" type="noConversion"/>
  </si>
  <si>
    <t>AMM0890A-KAC-R1</t>
    <phoneticPr fontId="2" type="noConversion"/>
  </si>
  <si>
    <r>
      <t>2021년 07월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</si>
  <si>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K-JR01887-G01HJA</t>
    <phoneticPr fontId="2" type="noConversion"/>
  </si>
  <si>
    <t>KR6197AGF254PNC</t>
    <phoneticPr fontId="2" type="noConversion"/>
  </si>
  <si>
    <t>SF2250EPR I/V</t>
    <phoneticPr fontId="2" type="noConversion"/>
  </si>
  <si>
    <t>07월 호기별 가동현황</t>
    <phoneticPr fontId="2" type="noConversion"/>
  </si>
  <si>
    <t>BURR수리-&gt;오조립수리</t>
    <phoneticPr fontId="2" type="noConversion"/>
  </si>
  <si>
    <t>2</t>
    <phoneticPr fontId="2" type="noConversion"/>
  </si>
  <si>
    <t>치수확인후양산</t>
    <phoneticPr fontId="2" type="noConversion"/>
  </si>
  <si>
    <t>HICON</t>
    <phoneticPr fontId="2" type="noConversion"/>
  </si>
  <si>
    <t>12</t>
    <phoneticPr fontId="2" type="noConversion"/>
  </si>
  <si>
    <t>HSB05-M007B3</t>
    <phoneticPr fontId="2" type="noConversion"/>
  </si>
  <si>
    <t>AMM0890A-KAC-R1</t>
    <phoneticPr fontId="2" type="noConversion"/>
  </si>
  <si>
    <t>9</t>
    <phoneticPr fontId="2" type="noConversion"/>
  </si>
  <si>
    <t>AMB07T4B-KAA-R1</t>
    <phoneticPr fontId="2" type="noConversion"/>
  </si>
  <si>
    <t>KR6448AGA180PKA</t>
    <phoneticPr fontId="2" type="noConversion"/>
  </si>
  <si>
    <t>SST</t>
    <phoneticPr fontId="2" type="noConversion"/>
  </si>
  <si>
    <t>3</t>
    <phoneticPr fontId="2" type="noConversion"/>
  </si>
  <si>
    <t>11</t>
    <phoneticPr fontId="2" type="noConversion"/>
  </si>
  <si>
    <t>COVER</t>
    <phoneticPr fontId="2" type="noConversion"/>
  </si>
  <si>
    <t>KR6448AC180TA</t>
    <phoneticPr fontId="2" type="noConversion"/>
  </si>
  <si>
    <t>KR6448AB180UA</t>
    <phoneticPr fontId="2" type="noConversion"/>
  </si>
  <si>
    <t>13</t>
    <phoneticPr fontId="2" type="noConversion"/>
  </si>
  <si>
    <t>BASE</t>
    <phoneticPr fontId="2" type="noConversion"/>
  </si>
  <si>
    <t>KR6303-E07TA</t>
    <phoneticPr fontId="2" type="noConversion"/>
  </si>
  <si>
    <t>5</t>
    <phoneticPr fontId="2" type="noConversion"/>
  </si>
  <si>
    <t>LATCH</t>
    <phoneticPr fontId="2" type="noConversion"/>
  </si>
  <si>
    <t>AMB07AA3A-KAA-R1</t>
    <phoneticPr fontId="2" type="noConversion"/>
  </si>
  <si>
    <t>HS05B-BASE1</t>
    <phoneticPr fontId="2" type="noConversion"/>
  </si>
  <si>
    <t>AMB0198A-KAA-R1</t>
    <phoneticPr fontId="2" type="noConversion"/>
  </si>
  <si>
    <t>AMB1942A-KAA-R1(1C)</t>
    <phoneticPr fontId="2" type="noConversion"/>
  </si>
  <si>
    <t>AMB0366A-KAA-R1</t>
    <phoneticPr fontId="2" type="noConversion"/>
  </si>
  <si>
    <t>MCS</t>
    <phoneticPr fontId="2" type="noConversion"/>
  </si>
  <si>
    <t>ADAPTER</t>
    <phoneticPr fontId="2" type="noConversion"/>
  </si>
  <si>
    <t>ACTUATOR</t>
    <phoneticPr fontId="2" type="noConversion"/>
  </si>
  <si>
    <t>BLUE</t>
    <phoneticPr fontId="2" type="noConversion"/>
  </si>
  <si>
    <t>SGF2041</t>
    <phoneticPr fontId="2" type="noConversion"/>
  </si>
  <si>
    <t>SF2255</t>
    <phoneticPr fontId="2" type="noConversion"/>
  </si>
  <si>
    <t>JD4901</t>
    <phoneticPr fontId="2" type="noConversion"/>
  </si>
  <si>
    <t>이관</t>
    <phoneticPr fontId="2" type="noConversion"/>
  </si>
  <si>
    <t>수정</t>
    <phoneticPr fontId="2" type="noConversion"/>
  </si>
  <si>
    <t>1C 오조립수리</t>
    <phoneticPr fontId="2" type="noConversion"/>
  </si>
  <si>
    <r>
      <t>2021년 07월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</si>
  <si>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AMB07P2A-KAA-R1</t>
    <phoneticPr fontId="2" type="noConversion"/>
  </si>
  <si>
    <t>NEXT</t>
    <phoneticPr fontId="2" type="noConversion"/>
  </si>
  <si>
    <t>XP2S 플로팅(0.175p)</t>
    <phoneticPr fontId="2" type="noConversion"/>
  </si>
  <si>
    <t>PX13012</t>
    <phoneticPr fontId="2" type="noConversion"/>
  </si>
  <si>
    <t>LATCH PLATE</t>
    <phoneticPr fontId="2" type="noConversion"/>
  </si>
  <si>
    <t>전일 ISSUE 사항(02일)</t>
    <phoneticPr fontId="2" type="noConversion"/>
  </si>
  <si>
    <t>1</t>
    <phoneticPr fontId="2" type="noConversion"/>
  </si>
  <si>
    <t>발주분양산-&gt;게이트막힘3회수리</t>
    <phoneticPr fontId="2" type="noConversion"/>
  </si>
  <si>
    <t>6</t>
    <phoneticPr fontId="2" type="noConversion"/>
  </si>
  <si>
    <t>수리후양산</t>
    <phoneticPr fontId="2" type="noConversion"/>
  </si>
  <si>
    <t>당일 진행 사항(05일)</t>
    <phoneticPr fontId="2" type="noConversion"/>
  </si>
  <si>
    <t>AMB1917D-KAA-R1</t>
    <phoneticPr fontId="2" type="noConversion"/>
  </si>
  <si>
    <t>LH-01D2-1</t>
    <phoneticPr fontId="2" type="noConversion"/>
  </si>
  <si>
    <t>AMB09J4C-KAB-R1</t>
    <phoneticPr fontId="2" type="noConversion"/>
  </si>
  <si>
    <t>AMM0892A-KAA-R1</t>
    <phoneticPr fontId="2" type="noConversion"/>
  </si>
  <si>
    <t>AMM0822A-KAB-R1</t>
    <phoneticPr fontId="2" type="noConversion"/>
  </si>
  <si>
    <t>4</t>
    <phoneticPr fontId="2" type="noConversion"/>
  </si>
  <si>
    <t>14</t>
    <phoneticPr fontId="2" type="noConversion"/>
  </si>
  <si>
    <t>SAMPLE 진행 사항(02일)</t>
    <phoneticPr fontId="2" type="noConversion"/>
  </si>
  <si>
    <t>New Pattern Cover-2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</si>
  <si>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</si>
  <si>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</si>
  <si>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2021년 07월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</si>
  <si>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SGF2050</t>
    <phoneticPr fontId="2" type="noConversion"/>
  </si>
  <si>
    <t>HRCS-00C14-N</t>
    <phoneticPr fontId="2" type="noConversion"/>
  </si>
  <si>
    <t>전일 ISSUE 사항(05일)</t>
    <phoneticPr fontId="2" type="noConversion"/>
  </si>
  <si>
    <t>뜯김수리</t>
    <phoneticPr fontId="2" type="noConversion"/>
  </si>
  <si>
    <t>상측박힘수리-&gt;게이트막힘3회수리</t>
    <phoneticPr fontId="2" type="noConversion"/>
  </si>
  <si>
    <t>8</t>
    <phoneticPr fontId="2" type="noConversion"/>
  </si>
  <si>
    <t>발주분양산-&gt;이물-&gt;코아파손정지</t>
    <phoneticPr fontId="2" type="noConversion"/>
  </si>
  <si>
    <t>당일 진행 사항(06일)</t>
    <phoneticPr fontId="2" type="noConversion"/>
  </si>
  <si>
    <t>AMB07AB3A-KAA-R1</t>
    <phoneticPr fontId="2" type="noConversion"/>
  </si>
  <si>
    <t>AMB1941A-KAA-R1</t>
    <phoneticPr fontId="2" type="noConversion"/>
  </si>
  <si>
    <t>HRCS-00C11-N(3.3)</t>
    <phoneticPr fontId="2" type="noConversion"/>
  </si>
  <si>
    <t>TOP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</si>
  <si>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</si>
  <si>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</si>
  <si>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</si>
  <si>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2021년 07월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</si>
  <si>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AYE</t>
    <phoneticPr fontId="2" type="noConversion"/>
  </si>
  <si>
    <t>NP628-1056-001#IN-B</t>
    <phoneticPr fontId="2" type="noConversion"/>
  </si>
  <si>
    <t>LG35</t>
    <phoneticPr fontId="2" type="noConversion"/>
  </si>
  <si>
    <t>STOPPER</t>
    <phoneticPr fontId="2" type="noConversion"/>
  </si>
  <si>
    <t>AMB0251A-KAA-R1</t>
    <phoneticPr fontId="2" type="noConversion"/>
  </si>
  <si>
    <t>HRCS-00C11-N</t>
    <phoneticPr fontId="2" type="noConversion"/>
  </si>
  <si>
    <t>AMB0197A-KAA-R1</t>
    <phoneticPr fontId="2" type="noConversion"/>
  </si>
  <si>
    <t>전일 ISSUE 사항(06일)</t>
    <phoneticPr fontId="2" type="noConversion"/>
  </si>
  <si>
    <t>수리후양산-&gt;BURR정지</t>
    <phoneticPr fontId="2" type="noConversion"/>
  </si>
  <si>
    <t>당일 진행 사항(07일)</t>
    <phoneticPr fontId="2" type="noConversion"/>
  </si>
  <si>
    <t>SAMPLE 진행 사항(06일)</t>
    <phoneticPr fontId="2" type="noConversion"/>
  </si>
  <si>
    <t>AMB1942A-KAA-R1(2C)</t>
    <phoneticPr fontId="2" type="noConversion"/>
  </si>
  <si>
    <t>증작</t>
    <phoneticPr fontId="2" type="noConversion"/>
  </si>
  <si>
    <t>K-JR01939-C01ATA</t>
    <phoneticPr fontId="2" type="noConversion"/>
  </si>
  <si>
    <t>KR6471-B110PA</t>
    <phoneticPr fontId="2" type="noConversion"/>
  </si>
  <si>
    <t>SF2250EPR</t>
    <phoneticPr fontId="2" type="noConversion"/>
  </si>
  <si>
    <t>신작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</si>
  <si>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</si>
  <si>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</si>
  <si>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2021년 07월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</si>
  <si>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AMB0361A-KAA-R2</t>
    <phoneticPr fontId="2" type="noConversion"/>
  </si>
  <si>
    <t>전일 ISSUE 사항(07일)</t>
    <phoneticPr fontId="2" type="noConversion"/>
  </si>
  <si>
    <t>미성형정지</t>
    <phoneticPr fontId="2" type="noConversion"/>
  </si>
  <si>
    <t>발주분양산-&gt;가스정지</t>
    <phoneticPr fontId="2" type="noConversion"/>
  </si>
  <si>
    <t>수리후양산-&gt;런너막힘-&gt;뜯김5회정지</t>
    <phoneticPr fontId="2" type="noConversion"/>
  </si>
  <si>
    <t>당일 진행 사항(08일)</t>
    <phoneticPr fontId="2" type="noConversion"/>
  </si>
  <si>
    <t>SAMPLE 진행 사항(07일)</t>
    <phoneticPr fontId="2" type="noConversion"/>
  </si>
  <si>
    <t>K-JR01939-G01ABA</t>
    <phoneticPr fontId="2" type="noConversion"/>
  </si>
  <si>
    <t>NP413-078-043#GP</t>
    <phoneticPr fontId="2" type="noConversion"/>
  </si>
  <si>
    <t>2829HQN05-24-F3</t>
    <phoneticPr fontId="2" type="noConversion"/>
  </si>
  <si>
    <t>HT00-M64A4-8</t>
    <phoneticPr fontId="2" type="noConversion"/>
  </si>
  <si>
    <t>KR6471-C110TA</t>
    <phoneticPr fontId="2" type="noConversion"/>
  </si>
  <si>
    <t>FLOATING</t>
    <phoneticPr fontId="2" type="noConversion"/>
  </si>
  <si>
    <t>SGF2030 N/P</t>
    <phoneticPr fontId="2" type="noConversion"/>
  </si>
  <si>
    <t>치수NG2회진행</t>
    <phoneticPr fontId="2" type="noConversion"/>
  </si>
  <si>
    <t>SGP2030R N/P</t>
    <phoneticPr fontId="2" type="noConversion"/>
  </si>
  <si>
    <t>옵션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</si>
  <si>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</si>
  <si>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</si>
  <si>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2021년 07월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</si>
  <si>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AMB0189A-KAA-R2</t>
    <phoneticPr fontId="2" type="noConversion"/>
  </si>
  <si>
    <t>전일 ISSUE 사항(08일)</t>
    <phoneticPr fontId="2" type="noConversion"/>
  </si>
  <si>
    <t>수리후양산-&gt;코아파손2회정지</t>
    <phoneticPr fontId="2" type="noConversion"/>
  </si>
  <si>
    <t>수리후양산-&gt;뜯김 13호기이동-&gt;BURR-&gt;오조립-&gt;뜯김정지</t>
    <phoneticPr fontId="2" type="noConversion"/>
  </si>
  <si>
    <t>당일 진행 사항(09일)</t>
    <phoneticPr fontId="2" type="noConversion"/>
  </si>
  <si>
    <t>HR032B-194A3</t>
    <phoneticPr fontId="2" type="noConversion"/>
  </si>
  <si>
    <t>AM0314C-K</t>
    <phoneticPr fontId="2" type="noConversion"/>
  </si>
  <si>
    <t>HR03A-05A1</t>
    <phoneticPr fontId="2" type="noConversion"/>
  </si>
  <si>
    <t>SAMPLE 진행 사항(08일)</t>
    <phoneticPr fontId="2" type="noConversion"/>
  </si>
  <si>
    <t>AMB0129A-KAA-R6</t>
    <phoneticPr fontId="2" type="noConversion"/>
  </si>
  <si>
    <t>016-125-358</t>
    <phoneticPr fontId="2" type="noConversion"/>
  </si>
  <si>
    <t>2829HQN05-24-B1</t>
    <phoneticPr fontId="2" type="noConversion"/>
  </si>
  <si>
    <t>2829HQN05-24-B2</t>
    <phoneticPr fontId="2" type="noConversion"/>
  </si>
  <si>
    <t>FLAPPER B</t>
    <phoneticPr fontId="2" type="noConversion"/>
  </si>
  <si>
    <t>BOTTOM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</si>
  <si>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</si>
  <si>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</si>
  <si>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07월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</si>
  <si>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HR032B-084A1</t>
    <phoneticPr fontId="2" type="noConversion"/>
  </si>
  <si>
    <t>전일 ISSUE 사항(09일)</t>
    <phoneticPr fontId="2" type="noConversion"/>
  </si>
  <si>
    <t>F/A</t>
    <phoneticPr fontId="2" type="noConversion"/>
  </si>
  <si>
    <t xml:space="preserve">수리후양산-&gt;뜯김정지 </t>
    <phoneticPr fontId="2" type="noConversion"/>
  </si>
  <si>
    <t>발주분양산-&gt;코아파손정지</t>
    <phoneticPr fontId="2" type="noConversion"/>
  </si>
  <si>
    <t>세척후양산-&gt;BURR정지</t>
    <phoneticPr fontId="2" type="noConversion"/>
  </si>
  <si>
    <t>당일 진행 사항(12일)</t>
    <phoneticPr fontId="2" type="noConversion"/>
  </si>
  <si>
    <t>AM0612A-K</t>
    <phoneticPr fontId="2" type="noConversion"/>
  </si>
  <si>
    <t>발주분양산-&gt;뜯김2회수리</t>
    <phoneticPr fontId="2" type="noConversion"/>
  </si>
  <si>
    <t>AMB0244A-KAA-R1</t>
    <phoneticPr fontId="2" type="noConversion"/>
  </si>
  <si>
    <t>AMB1935A-KAA-R1</t>
    <phoneticPr fontId="2" type="noConversion"/>
  </si>
  <si>
    <t>AMB07Z1A-KAA-R1</t>
    <phoneticPr fontId="2" type="noConversion"/>
  </si>
  <si>
    <t>15</t>
    <phoneticPr fontId="2" type="noConversion"/>
  </si>
  <si>
    <t>16</t>
    <phoneticPr fontId="2" type="noConversion"/>
  </si>
  <si>
    <t>30P</t>
    <phoneticPr fontId="2" type="noConversion"/>
  </si>
  <si>
    <t>SAMPLE 진행 사항(09일)</t>
    <phoneticPr fontId="2" type="noConversion"/>
  </si>
  <si>
    <t>HDB08PL-96S2(B)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</si>
  <si>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</si>
  <si>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</si>
  <si>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2021년 07월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</si>
  <si>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PX13322 W/T</t>
    <phoneticPr fontId="2" type="noConversion"/>
  </si>
  <si>
    <t>전일 ISSUE 사항(12일)</t>
    <phoneticPr fontId="2" type="noConversion"/>
  </si>
  <si>
    <t>발주분양산-&gt;런너막힘수리-&gt;BURR정지</t>
    <phoneticPr fontId="2" type="noConversion"/>
  </si>
  <si>
    <t>수리후양산-&gt;코아파손수리</t>
    <phoneticPr fontId="2" type="noConversion"/>
  </si>
  <si>
    <t>수리후양산-&gt;뜯김2회정지</t>
    <phoneticPr fontId="2" type="noConversion"/>
  </si>
  <si>
    <t>발주분양산-&gt;코아파손2회수리</t>
    <phoneticPr fontId="2" type="noConversion"/>
  </si>
  <si>
    <t>당일 진행 사항(13일)</t>
    <phoneticPr fontId="2" type="noConversion"/>
  </si>
  <si>
    <t>Pattern Cover-1</t>
    <phoneticPr fontId="2" type="noConversion"/>
  </si>
  <si>
    <t>SAMPLE 진행 사항(12일)</t>
    <phoneticPr fontId="2" type="noConversion"/>
  </si>
  <si>
    <t>HDBF05-M02B1</t>
    <phoneticPr fontId="2" type="noConversion"/>
  </si>
  <si>
    <t>SGF2041 N/P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</si>
  <si>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</si>
  <si>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</si>
  <si>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2021년 07월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</si>
  <si>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K-AR3545-1A</t>
    <phoneticPr fontId="2" type="noConversion"/>
  </si>
  <si>
    <t>K-AR3546-1A</t>
    <phoneticPr fontId="2" type="noConversion"/>
  </si>
  <si>
    <t>SGF2030TC</t>
    <phoneticPr fontId="2" type="noConversion"/>
  </si>
  <si>
    <t>K-R2890-1C</t>
    <phoneticPr fontId="2" type="noConversion"/>
  </si>
  <si>
    <t>전일 ISSUE 사항(13일)</t>
    <phoneticPr fontId="2" type="noConversion"/>
  </si>
  <si>
    <t>수리후양산-&gt;BURR2회정지</t>
    <phoneticPr fontId="2" type="noConversion"/>
  </si>
  <si>
    <t>발주분양산-&gt;뜯김1C막음</t>
    <phoneticPr fontId="2" type="noConversion"/>
  </si>
  <si>
    <t>단차정지</t>
    <phoneticPr fontId="2" type="noConversion"/>
  </si>
  <si>
    <t>발주분양산-&gt;밀핀파손정지</t>
    <phoneticPr fontId="2" type="noConversion"/>
  </si>
  <si>
    <t>당일 진행 사항(14일)</t>
    <phoneticPr fontId="2" type="noConversion"/>
  </si>
  <si>
    <t>K-AR3544-1A</t>
    <phoneticPr fontId="2" type="noConversion"/>
  </si>
  <si>
    <t>SAMPLE 진행 사항(13일)</t>
    <phoneticPr fontId="2" type="noConversion"/>
  </si>
  <si>
    <t>금형 수리 내역(13일)</t>
    <phoneticPr fontId="2" type="noConversion"/>
  </si>
  <si>
    <r>
      <t>2021년 07월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</si>
  <si>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AMB09J4C-KAB-R2</t>
    <phoneticPr fontId="2" type="noConversion"/>
  </si>
  <si>
    <t xml:space="preserve">SGF2033 </t>
    <phoneticPr fontId="2" type="noConversion"/>
  </si>
  <si>
    <t>전일 ISSUE 사항(14일)</t>
    <phoneticPr fontId="2" type="noConversion"/>
  </si>
  <si>
    <t>BURR수리 1C막음 미성형정지</t>
    <phoneticPr fontId="2" type="noConversion"/>
  </si>
  <si>
    <t>코아파손수리</t>
    <phoneticPr fontId="2" type="noConversion"/>
  </si>
  <si>
    <t>수리후양산-&gt;코아파손정지</t>
    <phoneticPr fontId="2" type="noConversion"/>
  </si>
  <si>
    <t>수정후양산</t>
    <phoneticPr fontId="2" type="noConversion"/>
  </si>
  <si>
    <t>당일 진행 사항(15일)</t>
    <phoneticPr fontId="2" type="noConversion"/>
  </si>
  <si>
    <t>SAMPLE 진행 사항(14일)</t>
    <phoneticPr fontId="2" type="noConversion"/>
  </si>
  <si>
    <t>NP413-136-111#GP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</si>
  <si>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</si>
  <si>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</si>
  <si>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2021년 07월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</si>
  <si>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XP2S FLOATING</t>
    <phoneticPr fontId="2" type="noConversion"/>
  </si>
  <si>
    <t>BURR,치수NG정지</t>
    <phoneticPr fontId="2" type="noConversion"/>
  </si>
  <si>
    <t>발주분양산-&gt;게이트막힘정지</t>
    <phoneticPr fontId="2" type="noConversion"/>
  </si>
  <si>
    <t>수리후양산-&gt;코아파손2회수리</t>
    <phoneticPr fontId="2" type="noConversion"/>
  </si>
  <si>
    <t>전일 ISSUE 사항(15일)</t>
    <phoneticPr fontId="2" type="noConversion"/>
  </si>
  <si>
    <t>당일 진행 사항(16일)</t>
    <phoneticPr fontId="2" type="noConversion"/>
  </si>
  <si>
    <t>HL480-1.0-10.0T1/B1</t>
    <phoneticPr fontId="2" type="noConversion"/>
  </si>
  <si>
    <t>TOP/BOTTOM</t>
    <phoneticPr fontId="2" type="noConversion"/>
  </si>
  <si>
    <t>SAMPLE 진행 사항(15일)</t>
    <phoneticPr fontId="2" type="noConversion"/>
  </si>
  <si>
    <t>AMM08010A-KAA-R1</t>
    <phoneticPr fontId="2" type="noConversion"/>
  </si>
  <si>
    <t>확인용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</si>
  <si>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</si>
  <si>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</si>
  <si>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07월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</si>
  <si>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2*1</t>
    <phoneticPr fontId="2" type="noConversion"/>
  </si>
  <si>
    <t>K-JR01933-G01AWA</t>
    <phoneticPr fontId="2" type="noConversion"/>
  </si>
  <si>
    <t>전일 ISSUE 사항(16일)</t>
    <phoneticPr fontId="2" type="noConversion"/>
  </si>
  <si>
    <t>수리후양산-&gt;치수NG수리-&gt;수리안됨양산</t>
    <phoneticPr fontId="2" type="noConversion"/>
  </si>
  <si>
    <t>코아파손수리-&gt;코아파손막음</t>
    <phoneticPr fontId="2" type="noConversion"/>
  </si>
  <si>
    <t>1C뜯김막음</t>
    <phoneticPr fontId="2" type="noConversion"/>
  </si>
  <si>
    <t>발주분양산-&gt;뜯김정지</t>
    <phoneticPr fontId="2" type="noConversion"/>
  </si>
  <si>
    <t>T/B</t>
    <phoneticPr fontId="2" type="noConversion"/>
  </si>
  <si>
    <t>당일 진행 사항(19일)</t>
    <phoneticPr fontId="2" type="noConversion"/>
  </si>
  <si>
    <t>AMB2069B-KAA-R1</t>
    <phoneticPr fontId="2" type="noConversion"/>
  </si>
  <si>
    <t>AMM08008B-KAA-R1</t>
    <phoneticPr fontId="2" type="noConversion"/>
  </si>
  <si>
    <t>AMM08008A-KAA-R1</t>
    <phoneticPr fontId="2" type="noConversion"/>
  </si>
  <si>
    <t>KR6170BD740UB</t>
    <phoneticPr fontId="2" type="noConversion"/>
  </si>
  <si>
    <t>K-JR01908-G02ABA</t>
    <phoneticPr fontId="2" type="noConversion"/>
  </si>
  <si>
    <t>SAMPLE 진행 사항(16일)</t>
    <phoneticPr fontId="2" type="noConversion"/>
  </si>
  <si>
    <t>K-JR01933-G02AWA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</si>
  <si>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</si>
  <si>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</si>
  <si>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2021년 07월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</si>
  <si>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AMB2069B-KAA-R2</t>
    <phoneticPr fontId="2" type="noConversion"/>
  </si>
  <si>
    <t>G1300H</t>
    <phoneticPr fontId="2" type="noConversion"/>
  </si>
  <si>
    <t>KR6170BD740UA</t>
    <phoneticPr fontId="2" type="noConversion"/>
  </si>
  <si>
    <t>SGP2030R</t>
    <phoneticPr fontId="2" type="noConversion"/>
  </si>
  <si>
    <t>전일 ISSUE 사항(19일)</t>
    <phoneticPr fontId="2" type="noConversion"/>
  </si>
  <si>
    <t>크랙수리</t>
    <phoneticPr fontId="2" type="noConversion"/>
  </si>
  <si>
    <t>코아파손4회정지</t>
    <phoneticPr fontId="2" type="noConversion"/>
  </si>
  <si>
    <t>발주분양산-&gt;코아파손2회정지</t>
    <phoneticPr fontId="2" type="noConversion"/>
  </si>
  <si>
    <t>발주분양산-&gt;코아파손수리</t>
    <phoneticPr fontId="2" type="noConversion"/>
  </si>
  <si>
    <t>세척후양산-&gt;휨정지</t>
    <phoneticPr fontId="2" type="noConversion"/>
  </si>
  <si>
    <t>당일 진행 사항(20일)</t>
    <phoneticPr fontId="2" type="noConversion"/>
  </si>
  <si>
    <t>HRCS-00C14</t>
    <phoneticPr fontId="2" type="noConversion"/>
  </si>
  <si>
    <t>HRCS-00C12A</t>
    <phoneticPr fontId="2" type="noConversion"/>
  </si>
  <si>
    <t>SAMPLE 진행 사항(19일)</t>
    <phoneticPr fontId="2" type="noConversion"/>
  </si>
  <si>
    <t>K-JR01939-E01TA</t>
    <phoneticPr fontId="2" type="noConversion"/>
  </si>
  <si>
    <t>K-JR01939-F195ATA</t>
    <phoneticPr fontId="2" type="noConversion"/>
  </si>
  <si>
    <t>BR120-127A1</t>
    <phoneticPr fontId="2" type="noConversion"/>
  </si>
  <si>
    <t>K-JR01939-D195AUA</t>
    <phoneticPr fontId="2" type="noConversion"/>
  </si>
  <si>
    <t>K-JR01939-B195AUA</t>
    <phoneticPr fontId="2" type="noConversion"/>
  </si>
  <si>
    <t>K-JR01939-A195ATA</t>
    <phoneticPr fontId="2" type="noConversion"/>
  </si>
  <si>
    <t>BP60-127A1</t>
    <phoneticPr fontId="2" type="noConversion"/>
  </si>
  <si>
    <t>요청</t>
    <phoneticPr fontId="2" type="noConversion"/>
  </si>
  <si>
    <t>LEAD GUIDE</t>
    <phoneticPr fontId="2" type="noConversion"/>
  </si>
  <si>
    <t>120P</t>
    <phoneticPr fontId="2" type="noConversion"/>
  </si>
  <si>
    <t>60P</t>
    <phoneticPr fontId="2" type="noConversion"/>
  </si>
  <si>
    <t>오조립수리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</si>
  <si>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</si>
  <si>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</si>
  <si>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2021년 07월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</si>
  <si>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AMB07M4A-KAA-R1</t>
    <phoneticPr fontId="2" type="noConversion"/>
  </si>
  <si>
    <t>4*8</t>
    <phoneticPr fontId="2" type="noConversion"/>
  </si>
  <si>
    <t>PLATE</t>
    <phoneticPr fontId="2" type="noConversion"/>
  </si>
  <si>
    <t>HRCS-00C13-N</t>
    <phoneticPr fontId="2" type="noConversion"/>
  </si>
  <si>
    <t>전일 ISSUE 사항(20일)</t>
    <phoneticPr fontId="2" type="noConversion"/>
  </si>
  <si>
    <t>BURR수리후양산-&gt;런너막힘정지</t>
    <phoneticPr fontId="2" type="noConversion"/>
  </si>
  <si>
    <t>수리후양산-&gt;1C파손막음</t>
    <phoneticPr fontId="2" type="noConversion"/>
  </si>
  <si>
    <t>코아파손2회정지</t>
    <phoneticPr fontId="2" type="noConversion"/>
  </si>
  <si>
    <t>발주분양산-&gt;런너막힘정지</t>
    <phoneticPr fontId="2" type="noConversion"/>
  </si>
  <si>
    <t>당일 진행 사항(21일)</t>
    <phoneticPr fontId="2" type="noConversion"/>
  </si>
  <si>
    <t>KR6166BB299UA</t>
    <phoneticPr fontId="2" type="noConversion"/>
  </si>
  <si>
    <t>AMB09J4C-KAB-R3</t>
    <phoneticPr fontId="2" type="noConversion"/>
  </si>
  <si>
    <t>AAM0818B-KAA-R3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</si>
  <si>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</si>
  <si>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</si>
  <si>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</si>
  <si>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2021년 07월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</si>
  <si>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AMB07U9A-KAA-R3</t>
    <phoneticPr fontId="2" type="noConversion"/>
  </si>
  <si>
    <t>KR6458BB456PMA</t>
    <phoneticPr fontId="2" type="noConversion"/>
  </si>
  <si>
    <t>AAM0818B-KAB-R3</t>
    <phoneticPr fontId="2" type="noConversion"/>
  </si>
  <si>
    <t>GN2330</t>
    <phoneticPr fontId="2" type="noConversion"/>
  </si>
  <si>
    <t>전일 ISSUE 사항(21일)</t>
    <phoneticPr fontId="2" type="noConversion"/>
  </si>
  <si>
    <t>런너막힘5회수리</t>
    <phoneticPr fontId="2" type="noConversion"/>
  </si>
  <si>
    <t>KR6166BB291UA</t>
    <phoneticPr fontId="2" type="noConversion"/>
  </si>
  <si>
    <t>당일 진행 사항(22일)</t>
    <phoneticPr fontId="2" type="noConversion"/>
  </si>
  <si>
    <t>AMB20G7B-KAA-R2</t>
    <phoneticPr fontId="2" type="noConversion"/>
  </si>
  <si>
    <t>SAMPLE 진행 사항(21일)</t>
    <phoneticPr fontId="2" type="noConversion"/>
  </si>
  <si>
    <t>치수NG 2회진행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</si>
  <si>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</si>
  <si>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</si>
  <si>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2021년 07월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</si>
  <si>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NCS</t>
    <phoneticPr fontId="2" type="noConversion"/>
  </si>
  <si>
    <t>전일 ISSUE 사항(22일)</t>
    <phoneticPr fontId="2" type="noConversion"/>
  </si>
  <si>
    <t>가스수리-&gt;BURR수리후양산</t>
    <phoneticPr fontId="2" type="noConversion"/>
  </si>
  <si>
    <t>에젝타수리후양산</t>
    <phoneticPr fontId="2" type="noConversion"/>
  </si>
  <si>
    <t>당일 진행 사항(23일)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</si>
  <si>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</si>
  <si>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</si>
  <si>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</si>
  <si>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07월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</si>
  <si>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전일 ISSUE 사항(23일)</t>
    <phoneticPr fontId="2" type="noConversion"/>
  </si>
  <si>
    <t>수리후양산-&gt;눌림정지</t>
    <phoneticPr fontId="2" type="noConversion"/>
  </si>
  <si>
    <t>당일 진행 사항(26일)</t>
    <phoneticPr fontId="2" type="noConversion"/>
  </si>
  <si>
    <t>세척후양산</t>
    <phoneticPr fontId="2" type="noConversion"/>
  </si>
  <si>
    <t>AMB0240A-KAA-R2</t>
    <phoneticPr fontId="2" type="noConversion"/>
  </si>
  <si>
    <t>AAM0818D-KAB-R3</t>
    <phoneticPr fontId="2" type="noConversion"/>
  </si>
  <si>
    <t>KR6105-B273UA</t>
    <phoneticPr fontId="2" type="noConversion"/>
  </si>
  <si>
    <t>K-AR3534-1A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</si>
  <si>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</si>
  <si>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</si>
  <si>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</si>
  <si>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36</t>
    <phoneticPr fontId="2" type="noConversion"/>
  </si>
  <si>
    <t>K-AR3531-1A</t>
    <phoneticPr fontId="2" type="noConversion"/>
  </si>
  <si>
    <t>SAMPLE 진행 사항(23일)</t>
    <phoneticPr fontId="2" type="noConversion"/>
  </si>
  <si>
    <t>KR6457-B315UA</t>
    <phoneticPr fontId="2" type="noConversion"/>
  </si>
  <si>
    <t>KR6457-C315TA</t>
    <phoneticPr fontId="2" type="noConversion"/>
  </si>
  <si>
    <t>KR6457-A315YA</t>
    <phoneticPr fontId="2" type="noConversion"/>
  </si>
  <si>
    <t>상측박힘정지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</si>
  <si>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</si>
  <si>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</si>
  <si>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07월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</si>
  <si>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LEAD GUIDER</t>
    <phoneticPr fontId="2" type="noConversion"/>
  </si>
  <si>
    <t>전일 ISSUE 사항(26일)</t>
    <phoneticPr fontId="2" type="noConversion"/>
  </si>
  <si>
    <t>발주분양산-&gt;칼퀴파손정지</t>
    <phoneticPr fontId="2" type="noConversion"/>
  </si>
  <si>
    <t>L/G</t>
    <phoneticPr fontId="2" type="noConversion"/>
  </si>
  <si>
    <t>당일 진행 사항(27일)</t>
    <phoneticPr fontId="2" type="noConversion"/>
  </si>
  <si>
    <t>AMB0172A-KAA-R3</t>
    <phoneticPr fontId="2" type="noConversion"/>
  </si>
  <si>
    <t>SAMPLE 진행 사항(26일)</t>
    <phoneticPr fontId="2" type="noConversion"/>
  </si>
  <si>
    <t>KR6457-F315UA</t>
    <phoneticPr fontId="2" type="noConversion"/>
  </si>
  <si>
    <t>상측박힘수리</t>
    <phoneticPr fontId="2" type="noConversion"/>
  </si>
  <si>
    <t>KR6457-D315UA</t>
    <phoneticPr fontId="2" type="noConversion"/>
  </si>
  <si>
    <t>400H-ABG2622X</t>
    <phoneticPr fontId="2" type="noConversion"/>
  </si>
  <si>
    <t>OKINS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</si>
  <si>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</si>
  <si>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</si>
  <si>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2021년 07월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</si>
  <si>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K-JR01939-B195ATA</t>
    <phoneticPr fontId="2" type="noConversion"/>
  </si>
  <si>
    <t>전일 ISSUE 사항(27일)</t>
    <phoneticPr fontId="2" type="noConversion"/>
  </si>
  <si>
    <t>BURR수리후양산</t>
    <phoneticPr fontId="2" type="noConversion"/>
  </si>
  <si>
    <t>당일 진행 사항(28일)</t>
    <phoneticPr fontId="2" type="noConversion"/>
  </si>
  <si>
    <t>SAMPLE 진행 사항(27일)</t>
    <phoneticPr fontId="2" type="noConversion"/>
  </si>
  <si>
    <t>KR6457-GA315PNA</t>
    <phoneticPr fontId="2" type="noConversion"/>
  </si>
  <si>
    <t>AMB09J4B-KAA-R5</t>
    <phoneticPr fontId="2" type="noConversion"/>
  </si>
  <si>
    <t>SF2250EPR N/P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</si>
  <si>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</si>
  <si>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</si>
  <si>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2021년 07월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</si>
  <si>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전일 ISSUE 사항(28일)</t>
    <phoneticPr fontId="2" type="noConversion"/>
  </si>
  <si>
    <t>발주분양산-&gt;설비이상정지</t>
    <phoneticPr fontId="2" type="noConversion"/>
  </si>
  <si>
    <t>에젝타이상정지</t>
    <phoneticPr fontId="2" type="noConversion"/>
  </si>
  <si>
    <t>당일 진행 사항(29일)</t>
    <phoneticPr fontId="2" type="noConversion"/>
  </si>
  <si>
    <t>AMB07P8A-KAA-R1</t>
    <phoneticPr fontId="2" type="noConversion"/>
  </si>
  <si>
    <t>HR032B-194A2</t>
    <phoneticPr fontId="2" type="noConversion"/>
  </si>
  <si>
    <t>SW-003205</t>
    <phoneticPr fontId="2" type="noConversion"/>
  </si>
  <si>
    <t>ODT</t>
    <phoneticPr fontId="2" type="noConversion"/>
  </si>
  <si>
    <t>CASE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</si>
  <si>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</si>
  <si>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</si>
  <si>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</si>
  <si>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2021년 07월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</si>
  <si>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HR032B-192A2</t>
    <phoneticPr fontId="2" type="noConversion"/>
  </si>
  <si>
    <t>PC B/K</t>
    <phoneticPr fontId="2" type="noConversion"/>
  </si>
  <si>
    <t>전일 ISSUE 사항(29일)</t>
    <phoneticPr fontId="2" type="noConversion"/>
  </si>
  <si>
    <t>HR032-194A2</t>
    <phoneticPr fontId="2" type="noConversion"/>
  </si>
  <si>
    <t>발주분양산-&gt;뜯김2회-&gt;미성형정지</t>
    <phoneticPr fontId="2" type="noConversion"/>
  </si>
  <si>
    <t>당일 진행 사항(30일)</t>
    <phoneticPr fontId="2" type="noConversion"/>
  </si>
  <si>
    <t>AMB07U1A-KAA-R5</t>
    <phoneticPr fontId="2" type="noConversion"/>
  </si>
  <si>
    <t>치수NG</t>
    <phoneticPr fontId="2" type="noConversion"/>
  </si>
  <si>
    <t>SAMPLE 진행 사항(29일)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</si>
  <si>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</si>
  <si>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</si>
  <si>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2021년 07월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</si>
  <si>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전일 ISSUE 사항(30일)</t>
    <phoneticPr fontId="2" type="noConversion"/>
  </si>
  <si>
    <t>수리후양산-&gt;미성형정지</t>
    <phoneticPr fontId="2" type="noConversion"/>
  </si>
  <si>
    <t>1C양산-&gt;런너긁힘수리</t>
    <phoneticPr fontId="2" type="noConversion"/>
  </si>
  <si>
    <t>당일 진행 사항(02일)</t>
    <phoneticPr fontId="2" type="noConversion"/>
  </si>
  <si>
    <t>2829HQN05-24-B1</t>
    <phoneticPr fontId="2" type="noConversion"/>
  </si>
  <si>
    <t>3</t>
    <phoneticPr fontId="2" type="noConversion"/>
  </si>
  <si>
    <t>HT00-M64A4-8</t>
    <phoneticPr fontId="2" type="noConversion"/>
  </si>
  <si>
    <t>5</t>
    <phoneticPr fontId="2" type="noConversion"/>
  </si>
  <si>
    <t>LATCH</t>
    <phoneticPr fontId="2" type="noConversion"/>
  </si>
  <si>
    <t>SAMPLE 진행 사항(30일)</t>
    <phoneticPr fontId="2" type="noConversion"/>
  </si>
  <si>
    <t>수리</t>
    <phoneticPr fontId="2" type="noConversion"/>
  </si>
  <si>
    <t>치수확인용</t>
    <phoneticPr fontId="2" type="noConversion"/>
  </si>
  <si>
    <t>AMB0252A-KAA-R1</t>
    <phoneticPr fontId="2" type="noConversion"/>
  </si>
  <si>
    <t>MCS</t>
    <phoneticPr fontId="2" type="noConversion"/>
  </si>
  <si>
    <t>STOPPER</t>
    <phoneticPr fontId="2" type="noConversion"/>
  </si>
  <si>
    <t>SF2255</t>
    <phoneticPr fontId="2" type="noConversion"/>
  </si>
  <si>
    <t>수정</t>
    <phoneticPr fontId="2" type="noConversion"/>
  </si>
  <si>
    <t>6</t>
    <phoneticPr fontId="2" type="noConversion"/>
  </si>
  <si>
    <t>New Pattern Cover-1</t>
    <phoneticPr fontId="2" type="noConversion"/>
  </si>
  <si>
    <t>라인</t>
    <phoneticPr fontId="2" type="noConversion"/>
  </si>
  <si>
    <t>LCP ESD</t>
    <phoneticPr fontId="2" type="noConversion"/>
  </si>
  <si>
    <t>11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</si>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</sst>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0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41" fontId="8" fillId="0" borderId="7" xfId="4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29" xfId="2" applyFont="1" applyFill="1" applyBorder="1" applyAlignment="1">
      <alignment horizontal="center" vertical="center"/>
    </xf>
    <xf numFmtId="0" fontId="19" fillId="2" borderId="16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42" fontId="15" fillId="0" borderId="22" xfId="7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'01'!$L$6:$L$28</c:f>
              <c:numCache>
                <c:formatCode>_(* #,##0_);_(* \(#,##0\);_(* "-"_);_(@_)</c:formatCode>
                <c:ptCount val="23"/>
                <c:pt idx="0">
                  <c:v>3493</c:v>
                </c:pt>
                <c:pt idx="1">
                  <c:v>500</c:v>
                </c:pt>
                <c:pt idx="2">
                  <c:v>1802</c:v>
                </c:pt>
                <c:pt idx="5">
                  <c:v>7702</c:v>
                </c:pt>
                <c:pt idx="7">
                  <c:v>2978</c:v>
                </c:pt>
                <c:pt idx="9">
                  <c:v>636</c:v>
                </c:pt>
                <c:pt idx="12">
                  <c:v>3386</c:v>
                </c:pt>
                <c:pt idx="14">
                  <c:v>7548</c:v>
                </c:pt>
                <c:pt idx="15">
                  <c:v>4958</c:v>
                </c:pt>
                <c:pt idx="16">
                  <c:v>31552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9-4F51-8F4F-4562A271952A}"/>
            </c:ext>
          </c:extLst>
        </c:ser>
        <c:ser>
          <c:idx val="1"/>
          <c:order val="1"/>
          <c:tx>
            <c:v>계획</c:v>
          </c:tx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'01'!$J$6:$J$28</c:f>
              <c:numCache>
                <c:formatCode>_(* #,##0_);_(* \(#,##0\);_(* "-"_);_(@_)</c:formatCode>
                <c:ptCount val="23"/>
                <c:pt idx="0">
                  <c:v>3493</c:v>
                </c:pt>
                <c:pt idx="1">
                  <c:v>500</c:v>
                </c:pt>
                <c:pt idx="2">
                  <c:v>1802</c:v>
                </c:pt>
                <c:pt idx="3">
                  <c:v>12072</c:v>
                </c:pt>
                <c:pt idx="4">
                  <c:v>5029</c:v>
                </c:pt>
                <c:pt idx="5">
                  <c:v>7702</c:v>
                </c:pt>
                <c:pt idx="6">
                  <c:v>2001</c:v>
                </c:pt>
                <c:pt idx="7">
                  <c:v>2978</c:v>
                </c:pt>
                <c:pt idx="8">
                  <c:v>3081</c:v>
                </c:pt>
                <c:pt idx="9">
                  <c:v>636</c:v>
                </c:pt>
                <c:pt idx="10">
                  <c:v>76</c:v>
                </c:pt>
                <c:pt idx="11">
                  <c:v>5780</c:v>
                </c:pt>
                <c:pt idx="12">
                  <c:v>3386</c:v>
                </c:pt>
                <c:pt idx="13">
                  <c:v>1726</c:v>
                </c:pt>
                <c:pt idx="14">
                  <c:v>7548</c:v>
                </c:pt>
                <c:pt idx="15">
                  <c:v>4958</c:v>
                </c:pt>
                <c:pt idx="16">
                  <c:v>31552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9-4F51-8F4F-4562A2719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'01'!$AD$6:$AD$28</c:f>
              <c:strCache>
                <c:ptCount val="23"/>
                <c:pt idx="0">
                  <c:v>63%</c:v>
                </c:pt>
                <c:pt idx="1">
                  <c:v>17%</c:v>
                </c:pt>
                <c:pt idx="2">
                  <c:v>50%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0%</c:v>
                </c:pt>
                <c:pt idx="7">
                  <c:v>71%</c:v>
                </c:pt>
                <c:pt idx="8">
                  <c:v>0%</c:v>
                </c:pt>
                <c:pt idx="9">
                  <c:v>50%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'01'!$AD$6:$AD$28</c:f>
              <c:numCache>
                <c:formatCode>0%</c:formatCode>
                <c:ptCount val="23"/>
                <c:pt idx="0">
                  <c:v>0.625</c:v>
                </c:pt>
                <c:pt idx="1">
                  <c:v>0.16666666666666666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0</c:v>
                </c:pt>
                <c:pt idx="7">
                  <c:v>0.70833333333333337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C-4033-95A7-6E9BEBFB8E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6C-4033-95A7-6E9BEBFB8E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'01'!$AE$6:$AE$28</c:f>
              <c:numCache>
                <c:formatCode>0%</c:formatCode>
                <c:ptCount val="23"/>
                <c:pt idx="0">
                  <c:v>0.27898550724637677</c:v>
                </c:pt>
                <c:pt idx="1">
                  <c:v>0.27898550724637677</c:v>
                </c:pt>
                <c:pt idx="2">
                  <c:v>0.27898550724637677</c:v>
                </c:pt>
                <c:pt idx="3">
                  <c:v>0.27898550724637677</c:v>
                </c:pt>
                <c:pt idx="4">
                  <c:v>0.27898550724637677</c:v>
                </c:pt>
                <c:pt idx="5">
                  <c:v>0.27898550724637677</c:v>
                </c:pt>
                <c:pt idx="6">
                  <c:v>0.27898550724637677</c:v>
                </c:pt>
                <c:pt idx="7">
                  <c:v>0.27898550724637677</c:v>
                </c:pt>
                <c:pt idx="8">
                  <c:v>0.27898550724637677</c:v>
                </c:pt>
                <c:pt idx="9">
                  <c:v>0.27898550724637677</c:v>
                </c:pt>
                <c:pt idx="10">
                  <c:v>0.27898550724637677</c:v>
                </c:pt>
                <c:pt idx="11">
                  <c:v>0.27898550724637677</c:v>
                </c:pt>
                <c:pt idx="12">
                  <c:v>0.27898550724637677</c:v>
                </c:pt>
                <c:pt idx="13">
                  <c:v>0.27898550724637677</c:v>
                </c:pt>
                <c:pt idx="14">
                  <c:v>0.27898550724637677</c:v>
                </c:pt>
                <c:pt idx="15">
                  <c:v>0.27898550724637677</c:v>
                </c:pt>
                <c:pt idx="16">
                  <c:v>0.27898550724637677</c:v>
                </c:pt>
                <c:pt idx="17">
                  <c:v>0.27898550724637677</c:v>
                </c:pt>
                <c:pt idx="18">
                  <c:v>0.27898550724637677</c:v>
                </c:pt>
                <c:pt idx="19">
                  <c:v>0.27898550724637677</c:v>
                </c:pt>
                <c:pt idx="20">
                  <c:v>0.27898550724637677</c:v>
                </c:pt>
                <c:pt idx="21">
                  <c:v>0.27898550724637677</c:v>
                </c:pt>
                <c:pt idx="22">
                  <c:v>0.27898550724637677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C-4033-95A7-6E9BEBFB8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'01'!$L$6:$L$28</c:f>
              <c:numCache>
                <c:formatCode>_(* #,##0_);_(* \(#,##0\);_(* "-"_);_(@_)</c:formatCode>
                <c:ptCount val="23"/>
                <c:pt idx="0">
                  <c:v>3493</c:v>
                </c:pt>
                <c:pt idx="1">
                  <c:v>500</c:v>
                </c:pt>
                <c:pt idx="2">
                  <c:v>1802</c:v>
                </c:pt>
                <c:pt idx="5">
                  <c:v>7702</c:v>
                </c:pt>
                <c:pt idx="7">
                  <c:v>2978</c:v>
                </c:pt>
                <c:pt idx="9">
                  <c:v>636</c:v>
                </c:pt>
                <c:pt idx="12">
                  <c:v>3386</c:v>
                </c:pt>
                <c:pt idx="14">
                  <c:v>7548</c:v>
                </c:pt>
                <c:pt idx="15">
                  <c:v>4958</c:v>
                </c:pt>
                <c:pt idx="16">
                  <c:v>31552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1-48CB-9820-CA1EE4F61B29}"/>
            </c:ext>
          </c:extLst>
        </c:ser>
        <c:ser>
          <c:idx val="1"/>
          <c:order val="1"/>
          <c:tx>
            <c:v>계획</c:v>
          </c:tx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'01'!$J$6:$J$28</c:f>
              <c:numCache>
                <c:formatCode>_(* #,##0_);_(* \(#,##0\);_(* "-"_);_(@_)</c:formatCode>
                <c:ptCount val="23"/>
                <c:pt idx="0">
                  <c:v>3493</c:v>
                </c:pt>
                <c:pt idx="1">
                  <c:v>500</c:v>
                </c:pt>
                <c:pt idx="2">
                  <c:v>1802</c:v>
                </c:pt>
                <c:pt idx="3">
                  <c:v>12072</c:v>
                </c:pt>
                <c:pt idx="4">
                  <c:v>5029</c:v>
                </c:pt>
                <c:pt idx="5">
                  <c:v>7702</c:v>
                </c:pt>
                <c:pt idx="6">
                  <c:v>2001</c:v>
                </c:pt>
                <c:pt idx="7">
                  <c:v>2978</c:v>
                </c:pt>
                <c:pt idx="8">
                  <c:v>3081</c:v>
                </c:pt>
                <c:pt idx="9">
                  <c:v>636</c:v>
                </c:pt>
                <c:pt idx="10">
                  <c:v>76</c:v>
                </c:pt>
                <c:pt idx="11">
                  <c:v>5780</c:v>
                </c:pt>
                <c:pt idx="12">
                  <c:v>3386</c:v>
                </c:pt>
                <c:pt idx="13">
                  <c:v>1726</c:v>
                </c:pt>
                <c:pt idx="14">
                  <c:v>7548</c:v>
                </c:pt>
                <c:pt idx="15">
                  <c:v>4958</c:v>
                </c:pt>
                <c:pt idx="16">
                  <c:v>31552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1-48CB-9820-CA1EE4F61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'01'!$AD$6:$AD$28</c:f>
              <c:strCache>
                <c:ptCount val="23"/>
                <c:pt idx="0">
                  <c:v>63%</c:v>
                </c:pt>
                <c:pt idx="1">
                  <c:v>17%</c:v>
                </c:pt>
                <c:pt idx="2">
                  <c:v>50%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0%</c:v>
                </c:pt>
                <c:pt idx="7">
                  <c:v>71%</c:v>
                </c:pt>
                <c:pt idx="8">
                  <c:v>0%</c:v>
                </c:pt>
                <c:pt idx="9">
                  <c:v>50%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'01'!$AD$6:$AD$28</c:f>
              <c:numCache>
                <c:formatCode>0%</c:formatCode>
                <c:ptCount val="23"/>
                <c:pt idx="0">
                  <c:v>0.625</c:v>
                </c:pt>
                <c:pt idx="1">
                  <c:v>0.16666666666666666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0</c:v>
                </c:pt>
                <c:pt idx="7">
                  <c:v>0.70833333333333337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5-4038-8AEE-3FAD8199F2D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F5-4038-8AEE-3FAD8199F2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'01'!$AE$6:$AE$28</c:f>
              <c:numCache>
                <c:formatCode>0%</c:formatCode>
                <c:ptCount val="23"/>
                <c:pt idx="0">
                  <c:v>0.27898550724637677</c:v>
                </c:pt>
                <c:pt idx="1">
                  <c:v>0.27898550724637677</c:v>
                </c:pt>
                <c:pt idx="2">
                  <c:v>0.27898550724637677</c:v>
                </c:pt>
                <c:pt idx="3">
                  <c:v>0.27898550724637677</c:v>
                </c:pt>
                <c:pt idx="4">
                  <c:v>0.27898550724637677</c:v>
                </c:pt>
                <c:pt idx="5">
                  <c:v>0.27898550724637677</c:v>
                </c:pt>
                <c:pt idx="6">
                  <c:v>0.27898550724637677</c:v>
                </c:pt>
                <c:pt idx="7">
                  <c:v>0.27898550724637677</c:v>
                </c:pt>
                <c:pt idx="8">
                  <c:v>0.27898550724637677</c:v>
                </c:pt>
                <c:pt idx="9">
                  <c:v>0.27898550724637677</c:v>
                </c:pt>
                <c:pt idx="10">
                  <c:v>0.27898550724637677</c:v>
                </c:pt>
                <c:pt idx="11">
                  <c:v>0.27898550724637677</c:v>
                </c:pt>
                <c:pt idx="12">
                  <c:v>0.27898550724637677</c:v>
                </c:pt>
                <c:pt idx="13">
                  <c:v>0.27898550724637677</c:v>
                </c:pt>
                <c:pt idx="14">
                  <c:v>0.27898550724637677</c:v>
                </c:pt>
                <c:pt idx="15">
                  <c:v>0.27898550724637677</c:v>
                </c:pt>
                <c:pt idx="16">
                  <c:v>0.27898550724637677</c:v>
                </c:pt>
                <c:pt idx="17">
                  <c:v>0.27898550724637677</c:v>
                </c:pt>
                <c:pt idx="18">
                  <c:v>0.27898550724637677</c:v>
                </c:pt>
                <c:pt idx="19">
                  <c:v>0.27898550724637677</c:v>
                </c:pt>
                <c:pt idx="20">
                  <c:v>0.27898550724637677</c:v>
                </c:pt>
                <c:pt idx="21">
                  <c:v>0.27898550724637677</c:v>
                </c:pt>
                <c:pt idx="22">
                  <c:v>0.27898550724637677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F5-4038-8AEE-3FAD8199F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519-45F3-BF00-3EC51B6D29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9-45F3-BF00-3EC51B6D2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519-45F3-BF00-3EC51B6D29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5F3-BF00-3EC51B6D2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'02'!$L$6:$L$28</c:f>
              <c:numCache>
                <c:formatCode>_(* #,##0_);_(* \(#,##0\);_(* "-"_);_(@_)</c:formatCode>
                <c:ptCount val="23"/>
                <c:pt idx="0">
                  <c:v>162</c:v>
                </c:pt>
                <c:pt idx="1">
                  <c:v>2771</c:v>
                </c:pt>
                <c:pt idx="2">
                  <c:v>17244</c:v>
                </c:pt>
                <c:pt idx="3">
                  <c:v>8122</c:v>
                </c:pt>
                <c:pt idx="5">
                  <c:v>7276</c:v>
                </c:pt>
                <c:pt idx="6">
                  <c:v>11152</c:v>
                </c:pt>
                <c:pt idx="7">
                  <c:v>4572</c:v>
                </c:pt>
                <c:pt idx="12">
                  <c:v>5752</c:v>
                </c:pt>
                <c:pt idx="13">
                  <c:v>9606</c:v>
                </c:pt>
                <c:pt idx="14">
                  <c:v>6892</c:v>
                </c:pt>
                <c:pt idx="15">
                  <c:v>4394</c:v>
                </c:pt>
                <c:pt idx="16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4-4946-AC0D-242AA881B8E9}"/>
            </c:ext>
          </c:extLst>
        </c:ser>
        <c:ser>
          <c:idx val="1"/>
          <c:order val="1"/>
          <c:tx>
            <c:v>계획</c:v>
          </c:tx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'02'!$J$6:$J$28</c:f>
              <c:numCache>
                <c:formatCode>_(* #,##0_);_(* \(#,##0\);_(* "-"_);_(@_)</c:formatCode>
                <c:ptCount val="23"/>
                <c:pt idx="0">
                  <c:v>162</c:v>
                </c:pt>
                <c:pt idx="1">
                  <c:v>2771</c:v>
                </c:pt>
                <c:pt idx="2">
                  <c:v>17244</c:v>
                </c:pt>
                <c:pt idx="3">
                  <c:v>8122</c:v>
                </c:pt>
                <c:pt idx="4">
                  <c:v>5029</c:v>
                </c:pt>
                <c:pt idx="5">
                  <c:v>7276</c:v>
                </c:pt>
                <c:pt idx="6">
                  <c:v>11152</c:v>
                </c:pt>
                <c:pt idx="7">
                  <c:v>4572</c:v>
                </c:pt>
                <c:pt idx="8">
                  <c:v>3081</c:v>
                </c:pt>
                <c:pt idx="9">
                  <c:v>636</c:v>
                </c:pt>
                <c:pt idx="10">
                  <c:v>76</c:v>
                </c:pt>
                <c:pt idx="11">
                  <c:v>5780</c:v>
                </c:pt>
                <c:pt idx="12">
                  <c:v>5752</c:v>
                </c:pt>
                <c:pt idx="13">
                  <c:v>9606</c:v>
                </c:pt>
                <c:pt idx="14">
                  <c:v>6892</c:v>
                </c:pt>
                <c:pt idx="15">
                  <c:v>4394</c:v>
                </c:pt>
                <c:pt idx="16">
                  <c:v>30000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4-4946-AC0D-242AA881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'02'!$AD$6:$AD$28</c:f>
              <c:strCache>
                <c:ptCount val="23"/>
                <c:pt idx="0">
                  <c:v>17%</c:v>
                </c:pt>
                <c:pt idx="1">
                  <c:v>63%</c:v>
                </c:pt>
                <c:pt idx="2">
                  <c:v>96%</c:v>
                </c:pt>
                <c:pt idx="3">
                  <c:v>88%</c:v>
                </c:pt>
                <c:pt idx="4">
                  <c:v>0%</c:v>
                </c:pt>
                <c:pt idx="5">
                  <c:v>83%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96%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'02'!$AD$6:$AD$28</c:f>
              <c:numCache>
                <c:formatCode>0%</c:formatCode>
                <c:ptCount val="23"/>
                <c:pt idx="0">
                  <c:v>0.16666666666666666</c:v>
                </c:pt>
                <c:pt idx="1">
                  <c:v>0.625</c:v>
                </c:pt>
                <c:pt idx="2">
                  <c:v>0.95833333333333337</c:v>
                </c:pt>
                <c:pt idx="3">
                  <c:v>0.875</c:v>
                </c:pt>
                <c:pt idx="4">
                  <c:v>0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0.95833333333333337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7-4737-8E71-96834BAE1F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27-4737-8E71-96834BAE1F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'02'!$AE$6:$AE$28</c:f>
              <c:numCache>
                <c:formatCode>0%</c:formatCode>
                <c:ptCount val="23"/>
                <c:pt idx="0">
                  <c:v>0.42753623188405798</c:v>
                </c:pt>
                <c:pt idx="1">
                  <c:v>0.42753623188405798</c:v>
                </c:pt>
                <c:pt idx="2">
                  <c:v>0.42753623188405798</c:v>
                </c:pt>
                <c:pt idx="3">
                  <c:v>0.42753623188405798</c:v>
                </c:pt>
                <c:pt idx="4">
                  <c:v>0.42753623188405798</c:v>
                </c:pt>
                <c:pt idx="5">
                  <c:v>0.42753623188405798</c:v>
                </c:pt>
                <c:pt idx="6">
                  <c:v>0.42753623188405798</c:v>
                </c:pt>
                <c:pt idx="7">
                  <c:v>0.42753623188405798</c:v>
                </c:pt>
                <c:pt idx="8">
                  <c:v>0.42753623188405798</c:v>
                </c:pt>
                <c:pt idx="9">
                  <c:v>0.42753623188405798</c:v>
                </c:pt>
                <c:pt idx="10">
                  <c:v>0.42753623188405798</c:v>
                </c:pt>
                <c:pt idx="11">
                  <c:v>0.42753623188405798</c:v>
                </c:pt>
                <c:pt idx="12">
                  <c:v>0.42753623188405798</c:v>
                </c:pt>
                <c:pt idx="13">
                  <c:v>0.42753623188405798</c:v>
                </c:pt>
                <c:pt idx="14">
                  <c:v>0.42753623188405798</c:v>
                </c:pt>
                <c:pt idx="15">
                  <c:v>0.42753623188405798</c:v>
                </c:pt>
                <c:pt idx="16">
                  <c:v>0.42753623188405798</c:v>
                </c:pt>
                <c:pt idx="17">
                  <c:v>0.42753623188405798</c:v>
                </c:pt>
                <c:pt idx="18">
                  <c:v>0.42753623188405798</c:v>
                </c:pt>
                <c:pt idx="19">
                  <c:v>0.42753623188405798</c:v>
                </c:pt>
                <c:pt idx="20">
                  <c:v>0.42753623188405798</c:v>
                </c:pt>
                <c:pt idx="21">
                  <c:v>0.42753623188405798</c:v>
                </c:pt>
                <c:pt idx="22">
                  <c:v>0.42753623188405798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27-4737-8E71-96834BAE1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'02'!$L$6:$L$28</c:f>
              <c:numCache>
                <c:formatCode>_(* #,##0_);_(* \(#,##0\);_(* "-"_);_(@_)</c:formatCode>
                <c:ptCount val="23"/>
                <c:pt idx="0">
                  <c:v>162</c:v>
                </c:pt>
                <c:pt idx="1">
                  <c:v>2771</c:v>
                </c:pt>
                <c:pt idx="2">
                  <c:v>17244</c:v>
                </c:pt>
                <c:pt idx="3">
                  <c:v>8122</c:v>
                </c:pt>
                <c:pt idx="5">
                  <c:v>7276</c:v>
                </c:pt>
                <c:pt idx="6">
                  <c:v>11152</c:v>
                </c:pt>
                <c:pt idx="7">
                  <c:v>4572</c:v>
                </c:pt>
                <c:pt idx="12">
                  <c:v>5752</c:v>
                </c:pt>
                <c:pt idx="13">
                  <c:v>9606</c:v>
                </c:pt>
                <c:pt idx="14">
                  <c:v>6892</c:v>
                </c:pt>
                <c:pt idx="15">
                  <c:v>4394</c:v>
                </c:pt>
                <c:pt idx="16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8-40AD-8776-9E0BC746039C}"/>
            </c:ext>
          </c:extLst>
        </c:ser>
        <c:ser>
          <c:idx val="1"/>
          <c:order val="1"/>
          <c:tx>
            <c:v>계획</c:v>
          </c:tx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'02'!$J$6:$J$28</c:f>
              <c:numCache>
                <c:formatCode>_(* #,##0_);_(* \(#,##0\);_(* "-"_);_(@_)</c:formatCode>
                <c:ptCount val="23"/>
                <c:pt idx="0">
                  <c:v>162</c:v>
                </c:pt>
                <c:pt idx="1">
                  <c:v>2771</c:v>
                </c:pt>
                <c:pt idx="2">
                  <c:v>17244</c:v>
                </c:pt>
                <c:pt idx="3">
                  <c:v>8122</c:v>
                </c:pt>
                <c:pt idx="4">
                  <c:v>5029</c:v>
                </c:pt>
                <c:pt idx="5">
                  <c:v>7276</c:v>
                </c:pt>
                <c:pt idx="6">
                  <c:v>11152</c:v>
                </c:pt>
                <c:pt idx="7">
                  <c:v>4572</c:v>
                </c:pt>
                <c:pt idx="8">
                  <c:v>3081</c:v>
                </c:pt>
                <c:pt idx="9">
                  <c:v>636</c:v>
                </c:pt>
                <c:pt idx="10">
                  <c:v>76</c:v>
                </c:pt>
                <c:pt idx="11">
                  <c:v>5780</c:v>
                </c:pt>
                <c:pt idx="12">
                  <c:v>5752</c:v>
                </c:pt>
                <c:pt idx="13">
                  <c:v>9606</c:v>
                </c:pt>
                <c:pt idx="14">
                  <c:v>6892</c:v>
                </c:pt>
                <c:pt idx="15">
                  <c:v>4394</c:v>
                </c:pt>
                <c:pt idx="16">
                  <c:v>30000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8-40AD-8776-9E0BC7460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'02'!$AD$6:$AD$28</c:f>
              <c:strCache>
                <c:ptCount val="23"/>
                <c:pt idx="0">
                  <c:v>17%</c:v>
                </c:pt>
                <c:pt idx="1">
                  <c:v>63%</c:v>
                </c:pt>
                <c:pt idx="2">
                  <c:v>96%</c:v>
                </c:pt>
                <c:pt idx="3">
                  <c:v>88%</c:v>
                </c:pt>
                <c:pt idx="4">
                  <c:v>0%</c:v>
                </c:pt>
                <c:pt idx="5">
                  <c:v>83%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96%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'02'!$AD$6:$AD$28</c:f>
              <c:numCache>
                <c:formatCode>0%</c:formatCode>
                <c:ptCount val="23"/>
                <c:pt idx="0">
                  <c:v>0.16666666666666666</c:v>
                </c:pt>
                <c:pt idx="1">
                  <c:v>0.625</c:v>
                </c:pt>
                <c:pt idx="2">
                  <c:v>0.95833333333333337</c:v>
                </c:pt>
                <c:pt idx="3">
                  <c:v>0.875</c:v>
                </c:pt>
                <c:pt idx="4">
                  <c:v>0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0.95833333333333337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78-4CA2-A235-756E5AFB1E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78-4CA2-A235-756E5AFB1E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'02'!$D$6:$D$28</c:f>
              <c:strCache>
                <c:ptCount val="22"/>
                <c:pt idx="0">
                  <c:v>ADAPTER</c:v>
                </c:pt>
                <c:pt idx="1">
                  <c:v>XP2S 플로팅(0.175p)</c:v>
                </c:pt>
                <c:pt idx="2">
                  <c:v>ADAPTER</c:v>
                </c:pt>
                <c:pt idx="3">
                  <c:v>ADAPTER</c:v>
                </c:pt>
                <c:pt idx="4">
                  <c:v>ADAPTER</c:v>
                </c:pt>
                <c:pt idx="5">
                  <c:v>LATCH</c:v>
                </c:pt>
                <c:pt idx="6">
                  <c:v>LATCH PLATE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BASE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'02'!$AE$6:$AE$28</c:f>
              <c:numCache>
                <c:formatCode>0%</c:formatCode>
                <c:ptCount val="23"/>
                <c:pt idx="0">
                  <c:v>0.42753623188405798</c:v>
                </c:pt>
                <c:pt idx="1">
                  <c:v>0.42753623188405798</c:v>
                </c:pt>
                <c:pt idx="2">
                  <c:v>0.42753623188405798</c:v>
                </c:pt>
                <c:pt idx="3">
                  <c:v>0.42753623188405798</c:v>
                </c:pt>
                <c:pt idx="4">
                  <c:v>0.42753623188405798</c:v>
                </c:pt>
                <c:pt idx="5">
                  <c:v>0.42753623188405798</c:v>
                </c:pt>
                <c:pt idx="6">
                  <c:v>0.42753623188405798</c:v>
                </c:pt>
                <c:pt idx="7">
                  <c:v>0.42753623188405798</c:v>
                </c:pt>
                <c:pt idx="8">
                  <c:v>0.42753623188405798</c:v>
                </c:pt>
                <c:pt idx="9">
                  <c:v>0.42753623188405798</c:v>
                </c:pt>
                <c:pt idx="10">
                  <c:v>0.42753623188405798</c:v>
                </c:pt>
                <c:pt idx="11">
                  <c:v>0.42753623188405798</c:v>
                </c:pt>
                <c:pt idx="12">
                  <c:v>0.42753623188405798</c:v>
                </c:pt>
                <c:pt idx="13">
                  <c:v>0.42753623188405798</c:v>
                </c:pt>
                <c:pt idx="14">
                  <c:v>0.42753623188405798</c:v>
                </c:pt>
                <c:pt idx="15">
                  <c:v>0.42753623188405798</c:v>
                </c:pt>
                <c:pt idx="16">
                  <c:v>0.42753623188405798</c:v>
                </c:pt>
                <c:pt idx="17">
                  <c:v>0.42753623188405798</c:v>
                </c:pt>
                <c:pt idx="18">
                  <c:v>0.42753623188405798</c:v>
                </c:pt>
                <c:pt idx="19">
                  <c:v>0.42753623188405798</c:v>
                </c:pt>
                <c:pt idx="20">
                  <c:v>0.42753623188405798</c:v>
                </c:pt>
                <c:pt idx="21">
                  <c:v>0.42753623188405798</c:v>
                </c:pt>
                <c:pt idx="22">
                  <c:v>0.42753623188405798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78-4CA2-A235-756E5AFB1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8F-489E-8F3C-19B131AF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F-489E-8F3C-19B131AF1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48F-489E-8F3C-19B131AF14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8F-489E-8F3C-19B131AF1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'05'!$L$6:$L$27</c:f>
              <c:numCache>
                <c:formatCode>_(* #,##0_);_(* \(#,##0\);_(* "-"_);_(@_)</c:formatCode>
                <c:ptCount val="22"/>
                <c:pt idx="0">
                  <c:v>2434</c:v>
                </c:pt>
                <c:pt idx="1">
                  <c:v>18687</c:v>
                </c:pt>
                <c:pt idx="2">
                  <c:v>7792</c:v>
                </c:pt>
                <c:pt idx="3">
                  <c:v>5140</c:v>
                </c:pt>
                <c:pt idx="4">
                  <c:v>4482</c:v>
                </c:pt>
                <c:pt idx="5">
                  <c:v>2334</c:v>
                </c:pt>
                <c:pt idx="6">
                  <c:v>4250</c:v>
                </c:pt>
                <c:pt idx="7">
                  <c:v>3145</c:v>
                </c:pt>
                <c:pt idx="10">
                  <c:v>5696</c:v>
                </c:pt>
                <c:pt idx="11">
                  <c:v>3287</c:v>
                </c:pt>
                <c:pt idx="12">
                  <c:v>9418</c:v>
                </c:pt>
                <c:pt idx="13">
                  <c:v>957</c:v>
                </c:pt>
                <c:pt idx="14">
                  <c:v>3422</c:v>
                </c:pt>
                <c:pt idx="15">
                  <c:v>54628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D-4345-8D1E-A311CC7B0D20}"/>
            </c:ext>
          </c:extLst>
        </c:ser>
        <c:ser>
          <c:idx val="1"/>
          <c:order val="1"/>
          <c:tx>
            <c:v>계획</c:v>
          </c:tx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'05'!$J$6:$J$27</c:f>
              <c:numCache>
                <c:formatCode>_(* #,##0_);_(* \(#,##0\);_(* "-"_);_(@_)</c:formatCode>
                <c:ptCount val="22"/>
                <c:pt idx="0">
                  <c:v>2434</c:v>
                </c:pt>
                <c:pt idx="1">
                  <c:v>18687</c:v>
                </c:pt>
                <c:pt idx="2">
                  <c:v>7792</c:v>
                </c:pt>
                <c:pt idx="3">
                  <c:v>5140</c:v>
                </c:pt>
                <c:pt idx="4">
                  <c:v>4482</c:v>
                </c:pt>
                <c:pt idx="5">
                  <c:v>2334</c:v>
                </c:pt>
                <c:pt idx="6">
                  <c:v>4250</c:v>
                </c:pt>
                <c:pt idx="7">
                  <c:v>3145</c:v>
                </c:pt>
                <c:pt idx="8">
                  <c:v>636</c:v>
                </c:pt>
                <c:pt idx="9">
                  <c:v>76</c:v>
                </c:pt>
                <c:pt idx="10">
                  <c:v>5696</c:v>
                </c:pt>
                <c:pt idx="11">
                  <c:v>3287</c:v>
                </c:pt>
                <c:pt idx="12">
                  <c:v>9418</c:v>
                </c:pt>
                <c:pt idx="13">
                  <c:v>957</c:v>
                </c:pt>
                <c:pt idx="14">
                  <c:v>3422</c:v>
                </c:pt>
                <c:pt idx="15">
                  <c:v>54628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0D-4345-8D1E-A311CC7B0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'05'!$AD$6:$AD$27</c:f>
              <c:strCache>
                <c:ptCount val="22"/>
                <c:pt idx="0">
                  <c:v>50%</c:v>
                </c:pt>
                <c:pt idx="1">
                  <c:v>100%</c:v>
                </c:pt>
                <c:pt idx="2">
                  <c:v>79%</c:v>
                </c:pt>
                <c:pt idx="3">
                  <c:v>100%</c:v>
                </c:pt>
                <c:pt idx="4">
                  <c:v>46%</c:v>
                </c:pt>
                <c:pt idx="5">
                  <c:v>25%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63%</c:v>
                </c:pt>
                <c:pt idx="12">
                  <c:v>100%</c:v>
                </c:pt>
                <c:pt idx="13">
                  <c:v>71%</c:v>
                </c:pt>
                <c:pt idx="14">
                  <c:v>79%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'05'!$AD$6:$AD$27</c:f>
              <c:numCache>
                <c:formatCode>0%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0.79166666666666663</c:v>
                </c:pt>
                <c:pt idx="3">
                  <c:v>1</c:v>
                </c:pt>
                <c:pt idx="4">
                  <c:v>0.45833333333333331</c:v>
                </c:pt>
                <c:pt idx="5">
                  <c:v>0.25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0.79166666666666663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4-4B27-80D9-50EA6B3DE6A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44-4B27-80D9-50EA6B3DE6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'05'!$AE$6:$AE$27</c:f>
              <c:numCache>
                <c:formatCode>0%</c:formatCode>
                <c:ptCount val="22"/>
                <c:pt idx="0">
                  <c:v>0.47348484848484845</c:v>
                </c:pt>
                <c:pt idx="1">
                  <c:v>0.47348484848484845</c:v>
                </c:pt>
                <c:pt idx="2">
                  <c:v>0.47348484848484845</c:v>
                </c:pt>
                <c:pt idx="3">
                  <c:v>0.47348484848484845</c:v>
                </c:pt>
                <c:pt idx="4">
                  <c:v>0.47348484848484845</c:v>
                </c:pt>
                <c:pt idx="5">
                  <c:v>0.47348484848484845</c:v>
                </c:pt>
                <c:pt idx="6">
                  <c:v>0.47348484848484845</c:v>
                </c:pt>
                <c:pt idx="7">
                  <c:v>0.47348484848484845</c:v>
                </c:pt>
                <c:pt idx="8">
                  <c:v>0.47348484848484845</c:v>
                </c:pt>
                <c:pt idx="9">
                  <c:v>0.47348484848484845</c:v>
                </c:pt>
                <c:pt idx="10">
                  <c:v>0.47348484848484845</c:v>
                </c:pt>
                <c:pt idx="11">
                  <c:v>0.47348484848484845</c:v>
                </c:pt>
                <c:pt idx="12">
                  <c:v>0.47348484848484845</c:v>
                </c:pt>
                <c:pt idx="13">
                  <c:v>0.47348484848484845</c:v>
                </c:pt>
                <c:pt idx="14">
                  <c:v>0.47348484848484845</c:v>
                </c:pt>
                <c:pt idx="15">
                  <c:v>0.47348484848484845</c:v>
                </c:pt>
                <c:pt idx="16">
                  <c:v>0.47348484848484845</c:v>
                </c:pt>
                <c:pt idx="17">
                  <c:v>0.47348484848484845</c:v>
                </c:pt>
                <c:pt idx="18">
                  <c:v>0.47348484848484845</c:v>
                </c:pt>
                <c:pt idx="19">
                  <c:v>0.47348484848484845</c:v>
                </c:pt>
                <c:pt idx="20">
                  <c:v>0.47348484848484845</c:v>
                </c:pt>
                <c:pt idx="21">
                  <c:v>0.47348484848484845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44-4B27-80D9-50EA6B3DE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'05'!$L$6:$L$27</c:f>
              <c:numCache>
                <c:formatCode>_(* #,##0_);_(* \(#,##0\);_(* "-"_);_(@_)</c:formatCode>
                <c:ptCount val="22"/>
                <c:pt idx="0">
                  <c:v>2434</c:v>
                </c:pt>
                <c:pt idx="1">
                  <c:v>18687</c:v>
                </c:pt>
                <c:pt idx="2">
                  <c:v>7792</c:v>
                </c:pt>
                <c:pt idx="3">
                  <c:v>5140</c:v>
                </c:pt>
                <c:pt idx="4">
                  <c:v>4482</c:v>
                </c:pt>
                <c:pt idx="5">
                  <c:v>2334</c:v>
                </c:pt>
                <c:pt idx="6">
                  <c:v>4250</c:v>
                </c:pt>
                <c:pt idx="7">
                  <c:v>3145</c:v>
                </c:pt>
                <c:pt idx="10">
                  <c:v>5696</c:v>
                </c:pt>
                <c:pt idx="11">
                  <c:v>3287</c:v>
                </c:pt>
                <c:pt idx="12">
                  <c:v>9418</c:v>
                </c:pt>
                <c:pt idx="13">
                  <c:v>957</c:v>
                </c:pt>
                <c:pt idx="14">
                  <c:v>3422</c:v>
                </c:pt>
                <c:pt idx="15">
                  <c:v>54628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8-4C36-92B1-E54C264C3A26}"/>
            </c:ext>
          </c:extLst>
        </c:ser>
        <c:ser>
          <c:idx val="1"/>
          <c:order val="1"/>
          <c:tx>
            <c:v>계획</c:v>
          </c:tx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'05'!$J$6:$J$27</c:f>
              <c:numCache>
                <c:formatCode>_(* #,##0_);_(* \(#,##0\);_(* "-"_);_(@_)</c:formatCode>
                <c:ptCount val="22"/>
                <c:pt idx="0">
                  <c:v>2434</c:v>
                </c:pt>
                <c:pt idx="1">
                  <c:v>18687</c:v>
                </c:pt>
                <c:pt idx="2">
                  <c:v>7792</c:v>
                </c:pt>
                <c:pt idx="3">
                  <c:v>5140</c:v>
                </c:pt>
                <c:pt idx="4">
                  <c:v>4482</c:v>
                </c:pt>
                <c:pt idx="5">
                  <c:v>2334</c:v>
                </c:pt>
                <c:pt idx="6">
                  <c:v>4250</c:v>
                </c:pt>
                <c:pt idx="7">
                  <c:v>3145</c:v>
                </c:pt>
                <c:pt idx="8">
                  <c:v>636</c:v>
                </c:pt>
                <c:pt idx="9">
                  <c:v>76</c:v>
                </c:pt>
                <c:pt idx="10">
                  <c:v>5696</c:v>
                </c:pt>
                <c:pt idx="11">
                  <c:v>3287</c:v>
                </c:pt>
                <c:pt idx="12">
                  <c:v>9418</c:v>
                </c:pt>
                <c:pt idx="13">
                  <c:v>957</c:v>
                </c:pt>
                <c:pt idx="14">
                  <c:v>3422</c:v>
                </c:pt>
                <c:pt idx="15">
                  <c:v>54628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8-4C36-92B1-E54C264C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'05'!$AD$6:$AD$27</c:f>
              <c:strCache>
                <c:ptCount val="22"/>
                <c:pt idx="0">
                  <c:v>50%</c:v>
                </c:pt>
                <c:pt idx="1">
                  <c:v>100%</c:v>
                </c:pt>
                <c:pt idx="2">
                  <c:v>79%</c:v>
                </c:pt>
                <c:pt idx="3">
                  <c:v>100%</c:v>
                </c:pt>
                <c:pt idx="4">
                  <c:v>46%</c:v>
                </c:pt>
                <c:pt idx="5">
                  <c:v>25%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63%</c:v>
                </c:pt>
                <c:pt idx="12">
                  <c:v>100%</c:v>
                </c:pt>
                <c:pt idx="13">
                  <c:v>71%</c:v>
                </c:pt>
                <c:pt idx="14">
                  <c:v>79%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'05'!$AD$6:$AD$27</c:f>
              <c:numCache>
                <c:formatCode>0%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0.79166666666666663</c:v>
                </c:pt>
                <c:pt idx="3">
                  <c:v>1</c:v>
                </c:pt>
                <c:pt idx="4">
                  <c:v>0.45833333333333331</c:v>
                </c:pt>
                <c:pt idx="5">
                  <c:v>0.25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0.79166666666666663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D-4F16-93FC-73410722E0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ED-4F16-93FC-73410722E0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XP2S 플로팅(0.175p)</c:v>
                </c:pt>
                <c:pt idx="1">
                  <c:v>ADAPTER</c:v>
                </c:pt>
                <c:pt idx="2">
                  <c:v>ADAPTER</c:v>
                </c:pt>
                <c:pt idx="3">
                  <c:v>ACTUATOR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'05'!$AE$6:$AE$27</c:f>
              <c:numCache>
                <c:formatCode>0%</c:formatCode>
                <c:ptCount val="22"/>
                <c:pt idx="0">
                  <c:v>0.47348484848484845</c:v>
                </c:pt>
                <c:pt idx="1">
                  <c:v>0.47348484848484845</c:v>
                </c:pt>
                <c:pt idx="2">
                  <c:v>0.47348484848484845</c:v>
                </c:pt>
                <c:pt idx="3">
                  <c:v>0.47348484848484845</c:v>
                </c:pt>
                <c:pt idx="4">
                  <c:v>0.47348484848484845</c:v>
                </c:pt>
                <c:pt idx="5">
                  <c:v>0.47348484848484845</c:v>
                </c:pt>
                <c:pt idx="6">
                  <c:v>0.47348484848484845</c:v>
                </c:pt>
                <c:pt idx="7">
                  <c:v>0.47348484848484845</c:v>
                </c:pt>
                <c:pt idx="8">
                  <c:v>0.47348484848484845</c:v>
                </c:pt>
                <c:pt idx="9">
                  <c:v>0.47348484848484845</c:v>
                </c:pt>
                <c:pt idx="10">
                  <c:v>0.47348484848484845</c:v>
                </c:pt>
                <c:pt idx="11">
                  <c:v>0.47348484848484845</c:v>
                </c:pt>
                <c:pt idx="12">
                  <c:v>0.47348484848484845</c:v>
                </c:pt>
                <c:pt idx="13">
                  <c:v>0.47348484848484845</c:v>
                </c:pt>
                <c:pt idx="14">
                  <c:v>0.47348484848484845</c:v>
                </c:pt>
                <c:pt idx="15">
                  <c:v>0.47348484848484845</c:v>
                </c:pt>
                <c:pt idx="16">
                  <c:v>0.47348484848484845</c:v>
                </c:pt>
                <c:pt idx="17">
                  <c:v>0.47348484848484845</c:v>
                </c:pt>
                <c:pt idx="18">
                  <c:v>0.47348484848484845</c:v>
                </c:pt>
                <c:pt idx="19">
                  <c:v>0.47348484848484845</c:v>
                </c:pt>
                <c:pt idx="20">
                  <c:v>0.47348484848484845</c:v>
                </c:pt>
                <c:pt idx="21">
                  <c:v>0.47348484848484845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ED-4F16-93FC-73410722E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893-4B59-B854-08C4A0A012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3-4B59-B854-08C4A0A0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893-4B59-B854-08C4A0A012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93-4B59-B854-08C4A0A0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'06'!$L$6:$L$28</c:f>
              <c:numCache>
                <c:formatCode>_(* #,##0_);_(* \(#,##0\);_(* "-"_);_(@_)</c:formatCode>
                <c:ptCount val="23"/>
                <c:pt idx="0">
                  <c:v>1034</c:v>
                </c:pt>
                <c:pt idx="1">
                  <c:v>19389</c:v>
                </c:pt>
                <c:pt idx="2">
                  <c:v>3590</c:v>
                </c:pt>
                <c:pt idx="3">
                  <c:v>3288</c:v>
                </c:pt>
                <c:pt idx="4">
                  <c:v>2859</c:v>
                </c:pt>
                <c:pt idx="6">
                  <c:v>6140</c:v>
                </c:pt>
                <c:pt idx="8">
                  <c:v>3172</c:v>
                </c:pt>
                <c:pt idx="9">
                  <c:v>214</c:v>
                </c:pt>
                <c:pt idx="11">
                  <c:v>11018</c:v>
                </c:pt>
                <c:pt idx="13">
                  <c:v>4700</c:v>
                </c:pt>
                <c:pt idx="15">
                  <c:v>5004</c:v>
                </c:pt>
                <c:pt idx="16">
                  <c:v>60676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2-4DD0-A43D-5E11C57CC6BC}"/>
            </c:ext>
          </c:extLst>
        </c:ser>
        <c:ser>
          <c:idx val="1"/>
          <c:order val="1"/>
          <c:tx>
            <c:v>계획</c:v>
          </c:tx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'06'!$J$6:$J$28</c:f>
              <c:numCache>
                <c:formatCode>_(* #,##0_);_(* \(#,##0\);_(* "-"_);_(@_)</c:formatCode>
                <c:ptCount val="23"/>
                <c:pt idx="0">
                  <c:v>1034</c:v>
                </c:pt>
                <c:pt idx="1">
                  <c:v>19389</c:v>
                </c:pt>
                <c:pt idx="2">
                  <c:v>3590</c:v>
                </c:pt>
                <c:pt idx="3">
                  <c:v>3288</c:v>
                </c:pt>
                <c:pt idx="4">
                  <c:v>2859</c:v>
                </c:pt>
                <c:pt idx="5">
                  <c:v>4482</c:v>
                </c:pt>
                <c:pt idx="6">
                  <c:v>6140</c:v>
                </c:pt>
                <c:pt idx="7">
                  <c:v>4250</c:v>
                </c:pt>
                <c:pt idx="8">
                  <c:v>3172</c:v>
                </c:pt>
                <c:pt idx="9">
                  <c:v>214</c:v>
                </c:pt>
                <c:pt idx="10">
                  <c:v>76</c:v>
                </c:pt>
                <c:pt idx="11">
                  <c:v>11018</c:v>
                </c:pt>
                <c:pt idx="12">
                  <c:v>3287</c:v>
                </c:pt>
                <c:pt idx="13">
                  <c:v>4700</c:v>
                </c:pt>
                <c:pt idx="14">
                  <c:v>957</c:v>
                </c:pt>
                <c:pt idx="15">
                  <c:v>5004</c:v>
                </c:pt>
                <c:pt idx="16">
                  <c:v>60676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2-4DD0-A43D-5E11C57C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'06'!$AD$6:$AD$28</c:f>
              <c:strCache>
                <c:ptCount val="23"/>
                <c:pt idx="0">
                  <c:v>17%</c:v>
                </c:pt>
                <c:pt idx="1">
                  <c:v>100%</c:v>
                </c:pt>
                <c:pt idx="2">
                  <c:v>29%</c:v>
                </c:pt>
                <c:pt idx="3">
                  <c:v>58%</c:v>
                </c:pt>
                <c:pt idx="4">
                  <c:v>58%</c:v>
                </c:pt>
                <c:pt idx="5">
                  <c:v>0%</c:v>
                </c:pt>
                <c:pt idx="6">
                  <c:v>67%</c:v>
                </c:pt>
                <c:pt idx="7">
                  <c:v>0%</c:v>
                </c:pt>
                <c:pt idx="8">
                  <c:v>79%</c:v>
                </c:pt>
                <c:pt idx="9">
                  <c:v>17%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54%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'06'!$AD$6:$AD$28</c:f>
              <c:numCache>
                <c:formatCode>0%</c:formatCode>
                <c:ptCount val="23"/>
                <c:pt idx="0">
                  <c:v>0.16666666666666666</c:v>
                </c:pt>
                <c:pt idx="1">
                  <c:v>1</c:v>
                </c:pt>
                <c:pt idx="2">
                  <c:v>0.29166666666666669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</c:v>
                </c:pt>
                <c:pt idx="6">
                  <c:v>0.66666666666666663</c:v>
                </c:pt>
                <c:pt idx="7">
                  <c:v>0</c:v>
                </c:pt>
                <c:pt idx="8">
                  <c:v>0.79166666666666663</c:v>
                </c:pt>
                <c:pt idx="9">
                  <c:v>0.16666666666666666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0.54166666666666663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C-41A4-9B3E-B67E3468CD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1C-41A4-9B3E-B67E3468CD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'06'!$AE$6:$AE$28</c:f>
              <c:numCache>
                <c:formatCode>0%</c:formatCode>
                <c:ptCount val="23"/>
                <c:pt idx="0">
                  <c:v>0.33876811594202905</c:v>
                </c:pt>
                <c:pt idx="1">
                  <c:v>0.33876811594202905</c:v>
                </c:pt>
                <c:pt idx="2">
                  <c:v>0.33876811594202905</c:v>
                </c:pt>
                <c:pt idx="3">
                  <c:v>0.33876811594202905</c:v>
                </c:pt>
                <c:pt idx="4">
                  <c:v>0.33876811594202905</c:v>
                </c:pt>
                <c:pt idx="5">
                  <c:v>0.33876811594202905</c:v>
                </c:pt>
                <c:pt idx="6">
                  <c:v>0.33876811594202905</c:v>
                </c:pt>
                <c:pt idx="7">
                  <c:v>0.33876811594202905</c:v>
                </c:pt>
                <c:pt idx="8">
                  <c:v>0.33876811594202905</c:v>
                </c:pt>
                <c:pt idx="9">
                  <c:v>0.33876811594202905</c:v>
                </c:pt>
                <c:pt idx="10">
                  <c:v>0.33876811594202905</c:v>
                </c:pt>
                <c:pt idx="11">
                  <c:v>0.33876811594202905</c:v>
                </c:pt>
                <c:pt idx="12">
                  <c:v>0.33876811594202905</c:v>
                </c:pt>
                <c:pt idx="13">
                  <c:v>0.33876811594202905</c:v>
                </c:pt>
                <c:pt idx="14">
                  <c:v>0.33876811594202905</c:v>
                </c:pt>
                <c:pt idx="15">
                  <c:v>0.33876811594202905</c:v>
                </c:pt>
                <c:pt idx="16">
                  <c:v>0.33876811594202905</c:v>
                </c:pt>
                <c:pt idx="17">
                  <c:v>0.33876811594202905</c:v>
                </c:pt>
                <c:pt idx="18">
                  <c:v>0.33876811594202905</c:v>
                </c:pt>
                <c:pt idx="19">
                  <c:v>0.33876811594202905</c:v>
                </c:pt>
                <c:pt idx="20">
                  <c:v>0.33876811594202905</c:v>
                </c:pt>
                <c:pt idx="21">
                  <c:v>0.33876811594202905</c:v>
                </c:pt>
                <c:pt idx="22">
                  <c:v>0.33876811594202905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1C-41A4-9B3E-B67E3468C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'06'!$L$6:$L$28</c:f>
              <c:numCache>
                <c:formatCode>_(* #,##0_);_(* \(#,##0\);_(* "-"_);_(@_)</c:formatCode>
                <c:ptCount val="23"/>
                <c:pt idx="0">
                  <c:v>1034</c:v>
                </c:pt>
                <c:pt idx="1">
                  <c:v>19389</c:v>
                </c:pt>
                <c:pt idx="2">
                  <c:v>3590</c:v>
                </c:pt>
                <c:pt idx="3">
                  <c:v>3288</c:v>
                </c:pt>
                <c:pt idx="4">
                  <c:v>2859</c:v>
                </c:pt>
                <c:pt idx="6">
                  <c:v>6140</c:v>
                </c:pt>
                <c:pt idx="8">
                  <c:v>3172</c:v>
                </c:pt>
                <c:pt idx="9">
                  <c:v>214</c:v>
                </c:pt>
                <c:pt idx="11">
                  <c:v>11018</c:v>
                </c:pt>
                <c:pt idx="13">
                  <c:v>4700</c:v>
                </c:pt>
                <c:pt idx="15">
                  <c:v>5004</c:v>
                </c:pt>
                <c:pt idx="16">
                  <c:v>60676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7-447A-B3EF-3A2C98B1CD1B}"/>
            </c:ext>
          </c:extLst>
        </c:ser>
        <c:ser>
          <c:idx val="1"/>
          <c:order val="1"/>
          <c:tx>
            <c:v>계획</c:v>
          </c:tx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'06'!$J$6:$J$28</c:f>
              <c:numCache>
                <c:formatCode>_(* #,##0_);_(* \(#,##0\);_(* "-"_);_(@_)</c:formatCode>
                <c:ptCount val="23"/>
                <c:pt idx="0">
                  <c:v>1034</c:v>
                </c:pt>
                <c:pt idx="1">
                  <c:v>19389</c:v>
                </c:pt>
                <c:pt idx="2">
                  <c:v>3590</c:v>
                </c:pt>
                <c:pt idx="3">
                  <c:v>3288</c:v>
                </c:pt>
                <c:pt idx="4">
                  <c:v>2859</c:v>
                </c:pt>
                <c:pt idx="5">
                  <c:v>4482</c:v>
                </c:pt>
                <c:pt idx="6">
                  <c:v>6140</c:v>
                </c:pt>
                <c:pt idx="7">
                  <c:v>4250</c:v>
                </c:pt>
                <c:pt idx="8">
                  <c:v>3172</c:v>
                </c:pt>
                <c:pt idx="9">
                  <c:v>214</c:v>
                </c:pt>
                <c:pt idx="10">
                  <c:v>76</c:v>
                </c:pt>
                <c:pt idx="11">
                  <c:v>11018</c:v>
                </c:pt>
                <c:pt idx="12">
                  <c:v>3287</c:v>
                </c:pt>
                <c:pt idx="13">
                  <c:v>4700</c:v>
                </c:pt>
                <c:pt idx="14">
                  <c:v>957</c:v>
                </c:pt>
                <c:pt idx="15">
                  <c:v>5004</c:v>
                </c:pt>
                <c:pt idx="16">
                  <c:v>60676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7-447A-B3EF-3A2C98B1C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'06'!$AD$6:$AD$28</c:f>
              <c:strCache>
                <c:ptCount val="23"/>
                <c:pt idx="0">
                  <c:v>17%</c:v>
                </c:pt>
                <c:pt idx="1">
                  <c:v>100%</c:v>
                </c:pt>
                <c:pt idx="2">
                  <c:v>29%</c:v>
                </c:pt>
                <c:pt idx="3">
                  <c:v>58%</c:v>
                </c:pt>
                <c:pt idx="4">
                  <c:v>58%</c:v>
                </c:pt>
                <c:pt idx="5">
                  <c:v>0%</c:v>
                </c:pt>
                <c:pt idx="6">
                  <c:v>67%</c:v>
                </c:pt>
                <c:pt idx="7">
                  <c:v>0%</c:v>
                </c:pt>
                <c:pt idx="8">
                  <c:v>79%</c:v>
                </c:pt>
                <c:pt idx="9">
                  <c:v>17%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54%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'06'!$AD$6:$AD$28</c:f>
              <c:numCache>
                <c:formatCode>0%</c:formatCode>
                <c:ptCount val="23"/>
                <c:pt idx="0">
                  <c:v>0.16666666666666666</c:v>
                </c:pt>
                <c:pt idx="1">
                  <c:v>1</c:v>
                </c:pt>
                <c:pt idx="2">
                  <c:v>0.29166666666666669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</c:v>
                </c:pt>
                <c:pt idx="6">
                  <c:v>0.66666666666666663</c:v>
                </c:pt>
                <c:pt idx="7">
                  <c:v>0</c:v>
                </c:pt>
                <c:pt idx="8">
                  <c:v>0.79166666666666663</c:v>
                </c:pt>
                <c:pt idx="9">
                  <c:v>0.16666666666666666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0.54166666666666663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36-4DFB-8C09-CDED093AB6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36-4DFB-8C09-CDED093AB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'06'!$AE$6:$AE$28</c:f>
              <c:numCache>
                <c:formatCode>0%</c:formatCode>
                <c:ptCount val="23"/>
                <c:pt idx="0">
                  <c:v>0.33876811594202905</c:v>
                </c:pt>
                <c:pt idx="1">
                  <c:v>0.33876811594202905</c:v>
                </c:pt>
                <c:pt idx="2">
                  <c:v>0.33876811594202905</c:v>
                </c:pt>
                <c:pt idx="3">
                  <c:v>0.33876811594202905</c:v>
                </c:pt>
                <c:pt idx="4">
                  <c:v>0.33876811594202905</c:v>
                </c:pt>
                <c:pt idx="5">
                  <c:v>0.33876811594202905</c:v>
                </c:pt>
                <c:pt idx="6">
                  <c:v>0.33876811594202905</c:v>
                </c:pt>
                <c:pt idx="7">
                  <c:v>0.33876811594202905</c:v>
                </c:pt>
                <c:pt idx="8">
                  <c:v>0.33876811594202905</c:v>
                </c:pt>
                <c:pt idx="9">
                  <c:v>0.33876811594202905</c:v>
                </c:pt>
                <c:pt idx="10">
                  <c:v>0.33876811594202905</c:v>
                </c:pt>
                <c:pt idx="11">
                  <c:v>0.33876811594202905</c:v>
                </c:pt>
                <c:pt idx="12">
                  <c:v>0.33876811594202905</c:v>
                </c:pt>
                <c:pt idx="13">
                  <c:v>0.33876811594202905</c:v>
                </c:pt>
                <c:pt idx="14">
                  <c:v>0.33876811594202905</c:v>
                </c:pt>
                <c:pt idx="15">
                  <c:v>0.33876811594202905</c:v>
                </c:pt>
                <c:pt idx="16">
                  <c:v>0.33876811594202905</c:v>
                </c:pt>
                <c:pt idx="17">
                  <c:v>0.33876811594202905</c:v>
                </c:pt>
                <c:pt idx="18">
                  <c:v>0.33876811594202905</c:v>
                </c:pt>
                <c:pt idx="19">
                  <c:v>0.33876811594202905</c:v>
                </c:pt>
                <c:pt idx="20">
                  <c:v>0.33876811594202905</c:v>
                </c:pt>
                <c:pt idx="21">
                  <c:v>0.33876811594202905</c:v>
                </c:pt>
                <c:pt idx="22">
                  <c:v>0.33876811594202905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36-4DFB-8C09-CDED093A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6C-4AD6-9C0E-805F8781AA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C-4AD6-9C0E-805F8781A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96C-4AD6-9C0E-805F8781AAE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6C-4AD6-9C0E-805F8781A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'07'!$L$6:$L$27</c:f>
              <c:numCache>
                <c:formatCode>_(* #,##0_);_(* \(#,##0\);_(* "-"_);_(@_)</c:formatCode>
                <c:ptCount val="22"/>
                <c:pt idx="1">
                  <c:v>19719</c:v>
                </c:pt>
                <c:pt idx="2">
                  <c:v>4962</c:v>
                </c:pt>
                <c:pt idx="3">
                  <c:v>4218</c:v>
                </c:pt>
                <c:pt idx="4">
                  <c:v>3636</c:v>
                </c:pt>
                <c:pt idx="6">
                  <c:v>928</c:v>
                </c:pt>
                <c:pt idx="12">
                  <c:v>1750</c:v>
                </c:pt>
                <c:pt idx="14">
                  <c:v>5023</c:v>
                </c:pt>
                <c:pt idx="15">
                  <c:v>59076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7-42B8-80BE-755FCD4852F0}"/>
            </c:ext>
          </c:extLst>
        </c:ser>
        <c:ser>
          <c:idx val="1"/>
          <c:order val="1"/>
          <c:tx>
            <c:v>계획</c:v>
          </c:tx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'07'!$J$6:$J$27</c:f>
              <c:numCache>
                <c:formatCode>_(* #,##0_);_(* \(#,##0\);_(* "-"_);_(@_)</c:formatCode>
                <c:ptCount val="22"/>
                <c:pt idx="0">
                  <c:v>1034</c:v>
                </c:pt>
                <c:pt idx="1">
                  <c:v>19719</c:v>
                </c:pt>
                <c:pt idx="2">
                  <c:v>4962</c:v>
                </c:pt>
                <c:pt idx="3">
                  <c:v>4218</c:v>
                </c:pt>
                <c:pt idx="4">
                  <c:v>3636</c:v>
                </c:pt>
                <c:pt idx="5">
                  <c:v>6140</c:v>
                </c:pt>
                <c:pt idx="6">
                  <c:v>928</c:v>
                </c:pt>
                <c:pt idx="7">
                  <c:v>3172</c:v>
                </c:pt>
                <c:pt idx="8">
                  <c:v>214</c:v>
                </c:pt>
                <c:pt idx="9">
                  <c:v>76</c:v>
                </c:pt>
                <c:pt idx="10">
                  <c:v>11018</c:v>
                </c:pt>
                <c:pt idx="11">
                  <c:v>3287</c:v>
                </c:pt>
                <c:pt idx="12">
                  <c:v>1750</c:v>
                </c:pt>
                <c:pt idx="13">
                  <c:v>957</c:v>
                </c:pt>
                <c:pt idx="14">
                  <c:v>5023</c:v>
                </c:pt>
                <c:pt idx="15">
                  <c:v>59076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37-42B8-80BE-755FCD48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92%</c:v>
                </c:pt>
                <c:pt idx="3">
                  <c:v>83%</c:v>
                </c:pt>
                <c:pt idx="4">
                  <c:v>75%</c:v>
                </c:pt>
                <c:pt idx="5">
                  <c:v>0%</c:v>
                </c:pt>
                <c:pt idx="6">
                  <c:v>21%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0.91666666666666663</c:v>
                </c:pt>
                <c:pt idx="3">
                  <c:v>0.83333333333333337</c:v>
                </c:pt>
                <c:pt idx="4">
                  <c:v>0.75</c:v>
                </c:pt>
                <c:pt idx="5">
                  <c:v>0</c:v>
                </c:pt>
                <c:pt idx="6">
                  <c:v>0.20833333333333334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1-4D38-BFF9-BC363AA0FA7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C1-4D38-BFF9-BC363AA0FA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'07'!$AE$6:$AE$27</c:f>
              <c:numCache>
                <c:formatCode>0%</c:formatCode>
                <c:ptCount val="22"/>
                <c:pt idx="0">
                  <c:v>0.26893939393939398</c:v>
                </c:pt>
                <c:pt idx="1">
                  <c:v>0.26893939393939398</c:v>
                </c:pt>
                <c:pt idx="2">
                  <c:v>0.26893939393939398</c:v>
                </c:pt>
                <c:pt idx="3">
                  <c:v>0.26893939393939398</c:v>
                </c:pt>
                <c:pt idx="4">
                  <c:v>0.26893939393939398</c:v>
                </c:pt>
                <c:pt idx="5">
                  <c:v>0.26893939393939398</c:v>
                </c:pt>
                <c:pt idx="6">
                  <c:v>0.26893939393939398</c:v>
                </c:pt>
                <c:pt idx="7">
                  <c:v>0.26893939393939398</c:v>
                </c:pt>
                <c:pt idx="8">
                  <c:v>0.26893939393939398</c:v>
                </c:pt>
                <c:pt idx="9">
                  <c:v>0.26893939393939398</c:v>
                </c:pt>
                <c:pt idx="10">
                  <c:v>0.26893939393939398</c:v>
                </c:pt>
                <c:pt idx="11">
                  <c:v>0.26893939393939398</c:v>
                </c:pt>
                <c:pt idx="12">
                  <c:v>0.26893939393939398</c:v>
                </c:pt>
                <c:pt idx="13">
                  <c:v>0.26893939393939398</c:v>
                </c:pt>
                <c:pt idx="14">
                  <c:v>0.26893939393939398</c:v>
                </c:pt>
                <c:pt idx="15">
                  <c:v>0.26893939393939398</c:v>
                </c:pt>
                <c:pt idx="16">
                  <c:v>0.26893939393939398</c:v>
                </c:pt>
                <c:pt idx="17">
                  <c:v>0.26893939393939398</c:v>
                </c:pt>
                <c:pt idx="18">
                  <c:v>0.26893939393939398</c:v>
                </c:pt>
                <c:pt idx="19">
                  <c:v>0.26893939393939398</c:v>
                </c:pt>
                <c:pt idx="20">
                  <c:v>0.26893939393939398</c:v>
                </c:pt>
                <c:pt idx="21">
                  <c:v>0.26893939393939398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C1-4D38-BFF9-BC363AA0F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'07'!$L$6:$L$27</c:f>
              <c:numCache>
                <c:formatCode>_(* #,##0_);_(* \(#,##0\);_(* "-"_);_(@_)</c:formatCode>
                <c:ptCount val="22"/>
                <c:pt idx="1">
                  <c:v>19719</c:v>
                </c:pt>
                <c:pt idx="2">
                  <c:v>4962</c:v>
                </c:pt>
                <c:pt idx="3">
                  <c:v>4218</c:v>
                </c:pt>
                <c:pt idx="4">
                  <c:v>3636</c:v>
                </c:pt>
                <c:pt idx="6">
                  <c:v>928</c:v>
                </c:pt>
                <c:pt idx="12">
                  <c:v>1750</c:v>
                </c:pt>
                <c:pt idx="14">
                  <c:v>5023</c:v>
                </c:pt>
                <c:pt idx="15">
                  <c:v>59076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4-4EA2-8830-045EC7C49762}"/>
            </c:ext>
          </c:extLst>
        </c:ser>
        <c:ser>
          <c:idx val="1"/>
          <c:order val="1"/>
          <c:tx>
            <c:v>계획</c:v>
          </c:tx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'07'!$J$6:$J$27</c:f>
              <c:numCache>
                <c:formatCode>_(* #,##0_);_(* \(#,##0\);_(* "-"_);_(@_)</c:formatCode>
                <c:ptCount val="22"/>
                <c:pt idx="0">
                  <c:v>1034</c:v>
                </c:pt>
                <c:pt idx="1">
                  <c:v>19719</c:v>
                </c:pt>
                <c:pt idx="2">
                  <c:v>4962</c:v>
                </c:pt>
                <c:pt idx="3">
                  <c:v>4218</c:v>
                </c:pt>
                <c:pt idx="4">
                  <c:v>3636</c:v>
                </c:pt>
                <c:pt idx="5">
                  <c:v>6140</c:v>
                </c:pt>
                <c:pt idx="6">
                  <c:v>928</c:v>
                </c:pt>
                <c:pt idx="7">
                  <c:v>3172</c:v>
                </c:pt>
                <c:pt idx="8">
                  <c:v>214</c:v>
                </c:pt>
                <c:pt idx="9">
                  <c:v>76</c:v>
                </c:pt>
                <c:pt idx="10">
                  <c:v>11018</c:v>
                </c:pt>
                <c:pt idx="11">
                  <c:v>3287</c:v>
                </c:pt>
                <c:pt idx="12">
                  <c:v>1750</c:v>
                </c:pt>
                <c:pt idx="13">
                  <c:v>957</c:v>
                </c:pt>
                <c:pt idx="14">
                  <c:v>5023</c:v>
                </c:pt>
                <c:pt idx="15">
                  <c:v>59076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4-4EA2-8830-045EC7C49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92%</c:v>
                </c:pt>
                <c:pt idx="3">
                  <c:v>83%</c:v>
                </c:pt>
                <c:pt idx="4">
                  <c:v>75%</c:v>
                </c:pt>
                <c:pt idx="5">
                  <c:v>0%</c:v>
                </c:pt>
                <c:pt idx="6">
                  <c:v>21%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0.91666666666666663</c:v>
                </c:pt>
                <c:pt idx="3">
                  <c:v>0.83333333333333337</c:v>
                </c:pt>
                <c:pt idx="4">
                  <c:v>0.75</c:v>
                </c:pt>
                <c:pt idx="5">
                  <c:v>0</c:v>
                </c:pt>
                <c:pt idx="6">
                  <c:v>0.20833333333333334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F-4BB5-8C62-8998A8DF2A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5F-4BB5-8C62-8998A8DF2A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'07'!$AE$6:$AE$27</c:f>
              <c:numCache>
                <c:formatCode>0%</c:formatCode>
                <c:ptCount val="22"/>
                <c:pt idx="0">
                  <c:v>0.26893939393939398</c:v>
                </c:pt>
                <c:pt idx="1">
                  <c:v>0.26893939393939398</c:v>
                </c:pt>
                <c:pt idx="2">
                  <c:v>0.26893939393939398</c:v>
                </c:pt>
                <c:pt idx="3">
                  <c:v>0.26893939393939398</c:v>
                </c:pt>
                <c:pt idx="4">
                  <c:v>0.26893939393939398</c:v>
                </c:pt>
                <c:pt idx="5">
                  <c:v>0.26893939393939398</c:v>
                </c:pt>
                <c:pt idx="6">
                  <c:v>0.26893939393939398</c:v>
                </c:pt>
                <c:pt idx="7">
                  <c:v>0.26893939393939398</c:v>
                </c:pt>
                <c:pt idx="8">
                  <c:v>0.26893939393939398</c:v>
                </c:pt>
                <c:pt idx="9">
                  <c:v>0.26893939393939398</c:v>
                </c:pt>
                <c:pt idx="10">
                  <c:v>0.26893939393939398</c:v>
                </c:pt>
                <c:pt idx="11">
                  <c:v>0.26893939393939398</c:v>
                </c:pt>
                <c:pt idx="12">
                  <c:v>0.26893939393939398</c:v>
                </c:pt>
                <c:pt idx="13">
                  <c:v>0.26893939393939398</c:v>
                </c:pt>
                <c:pt idx="14">
                  <c:v>0.26893939393939398</c:v>
                </c:pt>
                <c:pt idx="15">
                  <c:v>0.26893939393939398</c:v>
                </c:pt>
                <c:pt idx="16">
                  <c:v>0.26893939393939398</c:v>
                </c:pt>
                <c:pt idx="17">
                  <c:v>0.26893939393939398</c:v>
                </c:pt>
                <c:pt idx="18">
                  <c:v>0.26893939393939398</c:v>
                </c:pt>
                <c:pt idx="19">
                  <c:v>0.26893939393939398</c:v>
                </c:pt>
                <c:pt idx="20">
                  <c:v>0.26893939393939398</c:v>
                </c:pt>
                <c:pt idx="21">
                  <c:v>0.26893939393939398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5F-4BB5-8C62-8998A8DF2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08-4CE8-9301-E8E5BBD8EC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8-4CE8-9301-E8E5BBD8E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808-4CE8-9301-E8E5BBD8EC0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08-4CE8-9301-E8E5BBD8E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'08'!$L$6:$L$27</c:f>
              <c:numCache>
                <c:formatCode>_(* #,##0_);_(* \(#,##0\);_(* "-"_);_(@_)</c:formatCode>
                <c:ptCount val="22"/>
                <c:pt idx="1">
                  <c:v>18981</c:v>
                </c:pt>
                <c:pt idx="2">
                  <c:v>3108</c:v>
                </c:pt>
                <c:pt idx="3">
                  <c:v>5443</c:v>
                </c:pt>
                <c:pt idx="4">
                  <c:v>6265</c:v>
                </c:pt>
                <c:pt idx="6">
                  <c:v>2795</c:v>
                </c:pt>
                <c:pt idx="12">
                  <c:v>1211</c:v>
                </c:pt>
                <c:pt idx="14">
                  <c:v>5005</c:v>
                </c:pt>
                <c:pt idx="15">
                  <c:v>60392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2-4029-B92F-1B63B80D15A2}"/>
            </c:ext>
          </c:extLst>
        </c:ser>
        <c:ser>
          <c:idx val="1"/>
          <c:order val="1"/>
          <c:tx>
            <c:v>계획</c:v>
          </c:tx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'08'!$J$6:$J$27</c:f>
              <c:numCache>
                <c:formatCode>_(* #,##0_);_(* \(#,##0\);_(* "-"_);_(@_)</c:formatCode>
                <c:ptCount val="22"/>
                <c:pt idx="0">
                  <c:v>1034</c:v>
                </c:pt>
                <c:pt idx="1">
                  <c:v>18981</c:v>
                </c:pt>
                <c:pt idx="2">
                  <c:v>3108</c:v>
                </c:pt>
                <c:pt idx="3">
                  <c:v>5443</c:v>
                </c:pt>
                <c:pt idx="4">
                  <c:v>6265</c:v>
                </c:pt>
                <c:pt idx="5">
                  <c:v>6140</c:v>
                </c:pt>
                <c:pt idx="6">
                  <c:v>2795</c:v>
                </c:pt>
                <c:pt idx="7">
                  <c:v>3172</c:v>
                </c:pt>
                <c:pt idx="8">
                  <c:v>214</c:v>
                </c:pt>
                <c:pt idx="9">
                  <c:v>76</c:v>
                </c:pt>
                <c:pt idx="10">
                  <c:v>11018</c:v>
                </c:pt>
                <c:pt idx="11">
                  <c:v>3287</c:v>
                </c:pt>
                <c:pt idx="12">
                  <c:v>1211</c:v>
                </c:pt>
                <c:pt idx="13">
                  <c:v>957</c:v>
                </c:pt>
                <c:pt idx="14">
                  <c:v>5005</c:v>
                </c:pt>
                <c:pt idx="15">
                  <c:v>60392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2-4029-B92F-1B63B80D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71%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63%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0.70833333333333337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0.625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7-49C0-8E56-073FF809671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E7-49C0-8E56-073FF80967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'08'!$AE$6:$AE$27</c:f>
              <c:numCache>
                <c:formatCode>0%</c:formatCode>
                <c:ptCount val="22"/>
                <c:pt idx="0">
                  <c:v>0.29734848484848486</c:v>
                </c:pt>
                <c:pt idx="1">
                  <c:v>0.29734848484848486</c:v>
                </c:pt>
                <c:pt idx="2">
                  <c:v>0.29734848484848486</c:v>
                </c:pt>
                <c:pt idx="3">
                  <c:v>0.29734848484848486</c:v>
                </c:pt>
                <c:pt idx="4">
                  <c:v>0.29734848484848486</c:v>
                </c:pt>
                <c:pt idx="5">
                  <c:v>0.29734848484848486</c:v>
                </c:pt>
                <c:pt idx="6">
                  <c:v>0.29734848484848486</c:v>
                </c:pt>
                <c:pt idx="7">
                  <c:v>0.29734848484848486</c:v>
                </c:pt>
                <c:pt idx="8">
                  <c:v>0.29734848484848486</c:v>
                </c:pt>
                <c:pt idx="9">
                  <c:v>0.29734848484848486</c:v>
                </c:pt>
                <c:pt idx="10">
                  <c:v>0.29734848484848486</c:v>
                </c:pt>
                <c:pt idx="11">
                  <c:v>0.29734848484848486</c:v>
                </c:pt>
                <c:pt idx="12">
                  <c:v>0.29734848484848486</c:v>
                </c:pt>
                <c:pt idx="13">
                  <c:v>0.29734848484848486</c:v>
                </c:pt>
                <c:pt idx="14">
                  <c:v>0.29734848484848486</c:v>
                </c:pt>
                <c:pt idx="15">
                  <c:v>0.29734848484848486</c:v>
                </c:pt>
                <c:pt idx="16">
                  <c:v>0.29734848484848486</c:v>
                </c:pt>
                <c:pt idx="17">
                  <c:v>0.29734848484848486</c:v>
                </c:pt>
                <c:pt idx="18">
                  <c:v>0.29734848484848486</c:v>
                </c:pt>
                <c:pt idx="19">
                  <c:v>0.29734848484848486</c:v>
                </c:pt>
                <c:pt idx="20">
                  <c:v>0.29734848484848486</c:v>
                </c:pt>
                <c:pt idx="21">
                  <c:v>0.29734848484848486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E7-49C0-8E56-073FF8096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'08'!$L$6:$L$27</c:f>
              <c:numCache>
                <c:formatCode>_(* #,##0_);_(* \(#,##0\);_(* "-"_);_(@_)</c:formatCode>
                <c:ptCount val="22"/>
                <c:pt idx="1">
                  <c:v>18981</c:v>
                </c:pt>
                <c:pt idx="2">
                  <c:v>3108</c:v>
                </c:pt>
                <c:pt idx="3">
                  <c:v>5443</c:v>
                </c:pt>
                <c:pt idx="4">
                  <c:v>6265</c:v>
                </c:pt>
                <c:pt idx="6">
                  <c:v>2795</c:v>
                </c:pt>
                <c:pt idx="12">
                  <c:v>1211</c:v>
                </c:pt>
                <c:pt idx="14">
                  <c:v>5005</c:v>
                </c:pt>
                <c:pt idx="15">
                  <c:v>60392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8-4609-BD17-77A455995499}"/>
            </c:ext>
          </c:extLst>
        </c:ser>
        <c:ser>
          <c:idx val="1"/>
          <c:order val="1"/>
          <c:tx>
            <c:v>계획</c:v>
          </c:tx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'08'!$J$6:$J$27</c:f>
              <c:numCache>
                <c:formatCode>_(* #,##0_);_(* \(#,##0\);_(* "-"_);_(@_)</c:formatCode>
                <c:ptCount val="22"/>
                <c:pt idx="0">
                  <c:v>1034</c:v>
                </c:pt>
                <c:pt idx="1">
                  <c:v>18981</c:v>
                </c:pt>
                <c:pt idx="2">
                  <c:v>3108</c:v>
                </c:pt>
                <c:pt idx="3">
                  <c:v>5443</c:v>
                </c:pt>
                <c:pt idx="4">
                  <c:v>6265</c:v>
                </c:pt>
                <c:pt idx="5">
                  <c:v>6140</c:v>
                </c:pt>
                <c:pt idx="6">
                  <c:v>2795</c:v>
                </c:pt>
                <c:pt idx="7">
                  <c:v>3172</c:v>
                </c:pt>
                <c:pt idx="8">
                  <c:v>214</c:v>
                </c:pt>
                <c:pt idx="9">
                  <c:v>76</c:v>
                </c:pt>
                <c:pt idx="10">
                  <c:v>11018</c:v>
                </c:pt>
                <c:pt idx="11">
                  <c:v>3287</c:v>
                </c:pt>
                <c:pt idx="12">
                  <c:v>1211</c:v>
                </c:pt>
                <c:pt idx="13">
                  <c:v>957</c:v>
                </c:pt>
                <c:pt idx="14">
                  <c:v>5005</c:v>
                </c:pt>
                <c:pt idx="15">
                  <c:v>60392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8-4609-BD17-77A455995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71%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63%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0.70833333333333337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0.625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97-4F13-8BF7-4B29BC516B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97-4F13-8BF7-4B29BC516B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'08'!$AE$6:$AE$27</c:f>
              <c:numCache>
                <c:formatCode>0%</c:formatCode>
                <c:ptCount val="22"/>
                <c:pt idx="0">
                  <c:v>0.29734848484848486</c:v>
                </c:pt>
                <c:pt idx="1">
                  <c:v>0.29734848484848486</c:v>
                </c:pt>
                <c:pt idx="2">
                  <c:v>0.29734848484848486</c:v>
                </c:pt>
                <c:pt idx="3">
                  <c:v>0.29734848484848486</c:v>
                </c:pt>
                <c:pt idx="4">
                  <c:v>0.29734848484848486</c:v>
                </c:pt>
                <c:pt idx="5">
                  <c:v>0.29734848484848486</c:v>
                </c:pt>
                <c:pt idx="6">
                  <c:v>0.29734848484848486</c:v>
                </c:pt>
                <c:pt idx="7">
                  <c:v>0.29734848484848486</c:v>
                </c:pt>
                <c:pt idx="8">
                  <c:v>0.29734848484848486</c:v>
                </c:pt>
                <c:pt idx="9">
                  <c:v>0.29734848484848486</c:v>
                </c:pt>
                <c:pt idx="10">
                  <c:v>0.29734848484848486</c:v>
                </c:pt>
                <c:pt idx="11">
                  <c:v>0.29734848484848486</c:v>
                </c:pt>
                <c:pt idx="12">
                  <c:v>0.29734848484848486</c:v>
                </c:pt>
                <c:pt idx="13">
                  <c:v>0.29734848484848486</c:v>
                </c:pt>
                <c:pt idx="14">
                  <c:v>0.29734848484848486</c:v>
                </c:pt>
                <c:pt idx="15">
                  <c:v>0.29734848484848486</c:v>
                </c:pt>
                <c:pt idx="16">
                  <c:v>0.29734848484848486</c:v>
                </c:pt>
                <c:pt idx="17">
                  <c:v>0.29734848484848486</c:v>
                </c:pt>
                <c:pt idx="18">
                  <c:v>0.29734848484848486</c:v>
                </c:pt>
                <c:pt idx="19">
                  <c:v>0.29734848484848486</c:v>
                </c:pt>
                <c:pt idx="20">
                  <c:v>0.29734848484848486</c:v>
                </c:pt>
                <c:pt idx="21">
                  <c:v>0.29734848484848486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97-4F13-8BF7-4B29BC51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A64-484B-A25F-94F44F83DD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64-484B-A25F-94F44F83D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A64-484B-A25F-94F44F83DD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64-484B-A25F-94F44F83D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'09'!$L$6:$L$28</c:f>
              <c:numCache>
                <c:formatCode>_(* #,##0_);_(* \(#,##0\);_(* "-"_);_(@_)</c:formatCode>
                <c:ptCount val="23"/>
                <c:pt idx="0">
                  <c:v>1604</c:v>
                </c:pt>
                <c:pt idx="1">
                  <c:v>2339</c:v>
                </c:pt>
                <c:pt idx="3">
                  <c:v>5473</c:v>
                </c:pt>
                <c:pt idx="4">
                  <c:v>3499</c:v>
                </c:pt>
                <c:pt idx="5">
                  <c:v>3828</c:v>
                </c:pt>
                <c:pt idx="7">
                  <c:v>5248</c:v>
                </c:pt>
                <c:pt idx="8">
                  <c:v>4030</c:v>
                </c:pt>
                <c:pt idx="12">
                  <c:v>0</c:v>
                </c:pt>
                <c:pt idx="13">
                  <c:v>537</c:v>
                </c:pt>
                <c:pt idx="15">
                  <c:v>3449</c:v>
                </c:pt>
                <c:pt idx="16">
                  <c:v>57336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0-4819-915E-5324D4619EAA}"/>
            </c:ext>
          </c:extLst>
        </c:ser>
        <c:ser>
          <c:idx val="1"/>
          <c:order val="1"/>
          <c:tx>
            <c:v>계획</c:v>
          </c:tx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'09'!$J$6:$J$28</c:f>
              <c:numCache>
                <c:formatCode>_(* #,##0_);_(* \(#,##0\);_(* "-"_);_(@_)</c:formatCode>
                <c:ptCount val="23"/>
                <c:pt idx="0">
                  <c:v>1604</c:v>
                </c:pt>
                <c:pt idx="1">
                  <c:v>2339</c:v>
                </c:pt>
                <c:pt idx="2">
                  <c:v>18981</c:v>
                </c:pt>
                <c:pt idx="3">
                  <c:v>5473</c:v>
                </c:pt>
                <c:pt idx="4">
                  <c:v>3499</c:v>
                </c:pt>
                <c:pt idx="5">
                  <c:v>3828</c:v>
                </c:pt>
                <c:pt idx="6">
                  <c:v>6140</c:v>
                </c:pt>
                <c:pt idx="7">
                  <c:v>5248</c:v>
                </c:pt>
                <c:pt idx="8">
                  <c:v>4030</c:v>
                </c:pt>
                <c:pt idx="9">
                  <c:v>214</c:v>
                </c:pt>
                <c:pt idx="10">
                  <c:v>76</c:v>
                </c:pt>
                <c:pt idx="11">
                  <c:v>11018</c:v>
                </c:pt>
                <c:pt idx="12">
                  <c:v>3287</c:v>
                </c:pt>
                <c:pt idx="13">
                  <c:v>537</c:v>
                </c:pt>
                <c:pt idx="14">
                  <c:v>957</c:v>
                </c:pt>
                <c:pt idx="15">
                  <c:v>3449</c:v>
                </c:pt>
                <c:pt idx="16">
                  <c:v>57336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60-4819-915E-5324D4619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'09'!$AD$6:$AD$28</c:f>
              <c:strCache>
                <c:ptCount val="23"/>
                <c:pt idx="0">
                  <c:v>33%</c:v>
                </c:pt>
                <c:pt idx="1">
                  <c:v>50%</c:v>
                </c:pt>
                <c:pt idx="2">
                  <c:v>0%</c:v>
                </c:pt>
                <c:pt idx="3">
                  <c:v>100%</c:v>
                </c:pt>
                <c:pt idx="4">
                  <c:v>71%</c:v>
                </c:pt>
                <c:pt idx="5">
                  <c:v>67%</c:v>
                </c:pt>
                <c:pt idx="6">
                  <c:v>0%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13%</c:v>
                </c:pt>
                <c:pt idx="14">
                  <c:v>0%</c:v>
                </c:pt>
                <c:pt idx="15">
                  <c:v>67%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'09'!$AD$6:$AD$28</c:f>
              <c:numCache>
                <c:formatCode>0%</c:formatCode>
                <c:ptCount val="23"/>
                <c:pt idx="0">
                  <c:v>0.33333333333333331</c:v>
                </c:pt>
                <c:pt idx="1">
                  <c:v>0.5</c:v>
                </c:pt>
                <c:pt idx="2">
                  <c:v>0</c:v>
                </c:pt>
                <c:pt idx="3">
                  <c:v>1</c:v>
                </c:pt>
                <c:pt idx="4">
                  <c:v>0.70833333333333337</c:v>
                </c:pt>
                <c:pt idx="5">
                  <c:v>0.66666666666666663</c:v>
                </c:pt>
                <c:pt idx="6">
                  <c:v>0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0.125</c:v>
                </c:pt>
                <c:pt idx="14">
                  <c:v>0</c:v>
                </c:pt>
                <c:pt idx="15">
                  <c:v>0.66666666666666663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9-4864-918C-85AFB3D6B8B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99-4864-918C-85AFB3D6B8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'09'!$AE$6:$AE$28</c:f>
              <c:numCache>
                <c:formatCode>0%</c:formatCode>
                <c:ptCount val="23"/>
                <c:pt idx="0">
                  <c:v>0.30072463768115942</c:v>
                </c:pt>
                <c:pt idx="1">
                  <c:v>0.30072463768115942</c:v>
                </c:pt>
                <c:pt idx="2">
                  <c:v>0.30072463768115942</c:v>
                </c:pt>
                <c:pt idx="3">
                  <c:v>0.30072463768115942</c:v>
                </c:pt>
                <c:pt idx="4">
                  <c:v>0.30072463768115942</c:v>
                </c:pt>
                <c:pt idx="5">
                  <c:v>0.30072463768115942</c:v>
                </c:pt>
                <c:pt idx="6">
                  <c:v>0.30072463768115942</c:v>
                </c:pt>
                <c:pt idx="7">
                  <c:v>0.30072463768115942</c:v>
                </c:pt>
                <c:pt idx="8">
                  <c:v>0.30072463768115942</c:v>
                </c:pt>
                <c:pt idx="9">
                  <c:v>0.30072463768115942</c:v>
                </c:pt>
                <c:pt idx="10">
                  <c:v>0.30072463768115942</c:v>
                </c:pt>
                <c:pt idx="11">
                  <c:v>0.30072463768115942</c:v>
                </c:pt>
                <c:pt idx="12">
                  <c:v>0.30072463768115942</c:v>
                </c:pt>
                <c:pt idx="13">
                  <c:v>0.30072463768115942</c:v>
                </c:pt>
                <c:pt idx="14">
                  <c:v>0.30072463768115942</c:v>
                </c:pt>
                <c:pt idx="15">
                  <c:v>0.30072463768115942</c:v>
                </c:pt>
                <c:pt idx="16">
                  <c:v>0.30072463768115942</c:v>
                </c:pt>
                <c:pt idx="17">
                  <c:v>0.30072463768115942</c:v>
                </c:pt>
                <c:pt idx="18">
                  <c:v>0.30072463768115942</c:v>
                </c:pt>
                <c:pt idx="19">
                  <c:v>0.30072463768115942</c:v>
                </c:pt>
                <c:pt idx="20">
                  <c:v>0.30072463768115942</c:v>
                </c:pt>
                <c:pt idx="21">
                  <c:v>0.30072463768115942</c:v>
                </c:pt>
                <c:pt idx="22">
                  <c:v>0.30072463768115942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99-4864-918C-85AFB3D6B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'09'!$L$6:$L$28</c:f>
              <c:numCache>
                <c:formatCode>_(* #,##0_);_(* \(#,##0\);_(* "-"_);_(@_)</c:formatCode>
                <c:ptCount val="23"/>
                <c:pt idx="0">
                  <c:v>1604</c:v>
                </c:pt>
                <c:pt idx="1">
                  <c:v>2339</c:v>
                </c:pt>
                <c:pt idx="3">
                  <c:v>5473</c:v>
                </c:pt>
                <c:pt idx="4">
                  <c:v>3499</c:v>
                </c:pt>
                <c:pt idx="5">
                  <c:v>3828</c:v>
                </c:pt>
                <c:pt idx="7">
                  <c:v>5248</c:v>
                </c:pt>
                <c:pt idx="8">
                  <c:v>4030</c:v>
                </c:pt>
                <c:pt idx="12">
                  <c:v>0</c:v>
                </c:pt>
                <c:pt idx="13">
                  <c:v>537</c:v>
                </c:pt>
                <c:pt idx="15">
                  <c:v>3449</c:v>
                </c:pt>
                <c:pt idx="16">
                  <c:v>57336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8-4F82-B233-9B339C5A9F63}"/>
            </c:ext>
          </c:extLst>
        </c:ser>
        <c:ser>
          <c:idx val="1"/>
          <c:order val="1"/>
          <c:tx>
            <c:v>계획</c:v>
          </c:tx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'09'!$J$6:$J$28</c:f>
              <c:numCache>
                <c:formatCode>_(* #,##0_);_(* \(#,##0\);_(* "-"_);_(@_)</c:formatCode>
                <c:ptCount val="23"/>
                <c:pt idx="0">
                  <c:v>1604</c:v>
                </c:pt>
                <c:pt idx="1">
                  <c:v>2339</c:v>
                </c:pt>
                <c:pt idx="2">
                  <c:v>18981</c:v>
                </c:pt>
                <c:pt idx="3">
                  <c:v>5473</c:v>
                </c:pt>
                <c:pt idx="4">
                  <c:v>3499</c:v>
                </c:pt>
                <c:pt idx="5">
                  <c:v>3828</c:v>
                </c:pt>
                <c:pt idx="6">
                  <c:v>6140</c:v>
                </c:pt>
                <c:pt idx="7">
                  <c:v>5248</c:v>
                </c:pt>
                <c:pt idx="8">
                  <c:v>4030</c:v>
                </c:pt>
                <c:pt idx="9">
                  <c:v>214</c:v>
                </c:pt>
                <c:pt idx="10">
                  <c:v>76</c:v>
                </c:pt>
                <c:pt idx="11">
                  <c:v>11018</c:v>
                </c:pt>
                <c:pt idx="12">
                  <c:v>3287</c:v>
                </c:pt>
                <c:pt idx="13">
                  <c:v>537</c:v>
                </c:pt>
                <c:pt idx="14">
                  <c:v>957</c:v>
                </c:pt>
                <c:pt idx="15">
                  <c:v>3449</c:v>
                </c:pt>
                <c:pt idx="16">
                  <c:v>57336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58-4F82-B233-9B339C5A9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'09'!$AD$6:$AD$28</c:f>
              <c:strCache>
                <c:ptCount val="23"/>
                <c:pt idx="0">
                  <c:v>33%</c:v>
                </c:pt>
                <c:pt idx="1">
                  <c:v>50%</c:v>
                </c:pt>
                <c:pt idx="2">
                  <c:v>0%</c:v>
                </c:pt>
                <c:pt idx="3">
                  <c:v>100%</c:v>
                </c:pt>
                <c:pt idx="4">
                  <c:v>71%</c:v>
                </c:pt>
                <c:pt idx="5">
                  <c:v>67%</c:v>
                </c:pt>
                <c:pt idx="6">
                  <c:v>0%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13%</c:v>
                </c:pt>
                <c:pt idx="14">
                  <c:v>0%</c:v>
                </c:pt>
                <c:pt idx="15">
                  <c:v>67%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'09'!$AD$6:$AD$28</c:f>
              <c:numCache>
                <c:formatCode>0%</c:formatCode>
                <c:ptCount val="23"/>
                <c:pt idx="0">
                  <c:v>0.33333333333333331</c:v>
                </c:pt>
                <c:pt idx="1">
                  <c:v>0.5</c:v>
                </c:pt>
                <c:pt idx="2">
                  <c:v>0</c:v>
                </c:pt>
                <c:pt idx="3">
                  <c:v>1</c:v>
                </c:pt>
                <c:pt idx="4">
                  <c:v>0.70833333333333337</c:v>
                </c:pt>
                <c:pt idx="5">
                  <c:v>0.66666666666666663</c:v>
                </c:pt>
                <c:pt idx="6">
                  <c:v>0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0.125</c:v>
                </c:pt>
                <c:pt idx="14">
                  <c:v>0</c:v>
                </c:pt>
                <c:pt idx="15">
                  <c:v>0.66666666666666663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A-4FCD-B79E-8CEEDAAC79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CA-4FCD-B79E-8CEEDAAC79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4">
                  <c:v>ACTUATOR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'09'!$AE$6:$AE$28</c:f>
              <c:numCache>
                <c:formatCode>0%</c:formatCode>
                <c:ptCount val="23"/>
                <c:pt idx="0">
                  <c:v>0.30072463768115942</c:v>
                </c:pt>
                <c:pt idx="1">
                  <c:v>0.30072463768115942</c:v>
                </c:pt>
                <c:pt idx="2">
                  <c:v>0.30072463768115942</c:v>
                </c:pt>
                <c:pt idx="3">
                  <c:v>0.30072463768115942</c:v>
                </c:pt>
                <c:pt idx="4">
                  <c:v>0.30072463768115942</c:v>
                </c:pt>
                <c:pt idx="5">
                  <c:v>0.30072463768115942</c:v>
                </c:pt>
                <c:pt idx="6">
                  <c:v>0.30072463768115942</c:v>
                </c:pt>
                <c:pt idx="7">
                  <c:v>0.30072463768115942</c:v>
                </c:pt>
                <c:pt idx="8">
                  <c:v>0.30072463768115942</c:v>
                </c:pt>
                <c:pt idx="9">
                  <c:v>0.30072463768115942</c:v>
                </c:pt>
                <c:pt idx="10">
                  <c:v>0.30072463768115942</c:v>
                </c:pt>
                <c:pt idx="11">
                  <c:v>0.30072463768115942</c:v>
                </c:pt>
                <c:pt idx="12">
                  <c:v>0.30072463768115942</c:v>
                </c:pt>
                <c:pt idx="13">
                  <c:v>0.30072463768115942</c:v>
                </c:pt>
                <c:pt idx="14">
                  <c:v>0.30072463768115942</c:v>
                </c:pt>
                <c:pt idx="15">
                  <c:v>0.30072463768115942</c:v>
                </c:pt>
                <c:pt idx="16">
                  <c:v>0.30072463768115942</c:v>
                </c:pt>
                <c:pt idx="17">
                  <c:v>0.30072463768115942</c:v>
                </c:pt>
                <c:pt idx="18">
                  <c:v>0.30072463768115942</c:v>
                </c:pt>
                <c:pt idx="19">
                  <c:v>0.30072463768115942</c:v>
                </c:pt>
                <c:pt idx="20">
                  <c:v>0.30072463768115942</c:v>
                </c:pt>
                <c:pt idx="21">
                  <c:v>0.30072463768115942</c:v>
                </c:pt>
                <c:pt idx="22">
                  <c:v>0.30072463768115942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CA-4FCD-B79E-8CEEDAAC7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17C-4D59-B27A-6D1DD5199C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7C-4D59-B27A-6D1DD519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17C-4D59-B27A-6D1DD5199C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C-4D59-B27A-6D1DD519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'12'!$L$6:$L$27</c:f>
              <c:numCache>
                <c:formatCode>_(* #,##0_);_(* \(#,##0\);_(* "-"_);_(@_)</c:formatCode>
                <c:ptCount val="22"/>
                <c:pt idx="0">
                  <c:v>6596</c:v>
                </c:pt>
                <c:pt idx="2">
                  <c:v>4081</c:v>
                </c:pt>
                <c:pt idx="3">
                  <c:v>4196</c:v>
                </c:pt>
                <c:pt idx="6">
                  <c:v>5014</c:v>
                </c:pt>
                <c:pt idx="7">
                  <c:v>23364</c:v>
                </c:pt>
                <c:pt idx="10">
                  <c:v>6212</c:v>
                </c:pt>
                <c:pt idx="13">
                  <c:v>526</c:v>
                </c:pt>
                <c:pt idx="14">
                  <c:v>16424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C-45C8-BD02-944977911E9C}"/>
            </c:ext>
          </c:extLst>
        </c:ser>
        <c:ser>
          <c:idx val="1"/>
          <c:order val="1"/>
          <c:tx>
            <c:v>계획</c:v>
          </c:tx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'12'!$J$6:$J$27</c:f>
              <c:numCache>
                <c:formatCode>_(* #,##0_);_(* \(#,##0\);_(* "-"_);_(@_)</c:formatCode>
                <c:ptCount val="22"/>
                <c:pt idx="0">
                  <c:v>6596</c:v>
                </c:pt>
                <c:pt idx="1">
                  <c:v>18981</c:v>
                </c:pt>
                <c:pt idx="2">
                  <c:v>4081</c:v>
                </c:pt>
                <c:pt idx="3">
                  <c:v>4196</c:v>
                </c:pt>
                <c:pt idx="4">
                  <c:v>3828</c:v>
                </c:pt>
                <c:pt idx="5">
                  <c:v>6140</c:v>
                </c:pt>
                <c:pt idx="6">
                  <c:v>5014</c:v>
                </c:pt>
                <c:pt idx="7">
                  <c:v>23364</c:v>
                </c:pt>
                <c:pt idx="8">
                  <c:v>214</c:v>
                </c:pt>
                <c:pt idx="9">
                  <c:v>76</c:v>
                </c:pt>
                <c:pt idx="10">
                  <c:v>6212</c:v>
                </c:pt>
                <c:pt idx="11">
                  <c:v>3287</c:v>
                </c:pt>
                <c:pt idx="12">
                  <c:v>537</c:v>
                </c:pt>
                <c:pt idx="13">
                  <c:v>526</c:v>
                </c:pt>
                <c:pt idx="14">
                  <c:v>16242</c:v>
                </c:pt>
                <c:pt idx="15">
                  <c:v>57336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C-45C8-BD02-944977911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'12'!$AD$6:$AD$27</c:f>
              <c:strCache>
                <c:ptCount val="22"/>
                <c:pt idx="0">
                  <c:v>38%</c:v>
                </c:pt>
                <c:pt idx="1">
                  <c:v>0%</c:v>
                </c:pt>
                <c:pt idx="2">
                  <c:v>92%</c:v>
                </c:pt>
                <c:pt idx="3">
                  <c:v>83%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0%</c:v>
                </c:pt>
                <c:pt idx="13">
                  <c:v>50%</c:v>
                </c:pt>
                <c:pt idx="14">
                  <c:v>84%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'12'!$AD$6:$AD$27</c:f>
              <c:numCache>
                <c:formatCode>0%</c:formatCode>
                <c:ptCount val="22"/>
                <c:pt idx="0">
                  <c:v>0.375</c:v>
                </c:pt>
                <c:pt idx="1">
                  <c:v>0</c:v>
                </c:pt>
                <c:pt idx="2">
                  <c:v>0.91666666666666663</c:v>
                </c:pt>
                <c:pt idx="3">
                  <c:v>0.83333333333333337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0.84267126380166646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0-4BE7-8B32-3CCAF692BF4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00-4BE7-8B32-3CCAF692BF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'12'!$AE$6:$AE$27</c:f>
              <c:numCache>
                <c:formatCode>0%</c:formatCode>
                <c:ptCount val="22"/>
                <c:pt idx="0">
                  <c:v>0.27504566350613635</c:v>
                </c:pt>
                <c:pt idx="1">
                  <c:v>0.27504566350613635</c:v>
                </c:pt>
                <c:pt idx="2">
                  <c:v>0.27504566350613635</c:v>
                </c:pt>
                <c:pt idx="3">
                  <c:v>0.27504566350613635</c:v>
                </c:pt>
                <c:pt idx="4">
                  <c:v>0.27504566350613635</c:v>
                </c:pt>
                <c:pt idx="5">
                  <c:v>0.27504566350613635</c:v>
                </c:pt>
                <c:pt idx="6">
                  <c:v>0.27504566350613635</c:v>
                </c:pt>
                <c:pt idx="7">
                  <c:v>0.27504566350613635</c:v>
                </c:pt>
                <c:pt idx="8">
                  <c:v>0.27504566350613635</c:v>
                </c:pt>
                <c:pt idx="9">
                  <c:v>0.27504566350613635</c:v>
                </c:pt>
                <c:pt idx="10">
                  <c:v>0.27504566350613635</c:v>
                </c:pt>
                <c:pt idx="11">
                  <c:v>0.27504566350613635</c:v>
                </c:pt>
                <c:pt idx="12">
                  <c:v>0.27504566350613635</c:v>
                </c:pt>
                <c:pt idx="13">
                  <c:v>0.27504566350613635</c:v>
                </c:pt>
                <c:pt idx="14">
                  <c:v>0.27504566350613635</c:v>
                </c:pt>
                <c:pt idx="15">
                  <c:v>0.27504566350613635</c:v>
                </c:pt>
                <c:pt idx="16">
                  <c:v>0.27504566350613635</c:v>
                </c:pt>
                <c:pt idx="17">
                  <c:v>0.27504566350613635</c:v>
                </c:pt>
                <c:pt idx="18">
                  <c:v>0.27504566350613635</c:v>
                </c:pt>
                <c:pt idx="19">
                  <c:v>0.27504566350613635</c:v>
                </c:pt>
                <c:pt idx="20">
                  <c:v>0.27504566350613635</c:v>
                </c:pt>
                <c:pt idx="21">
                  <c:v>0.27504566350613635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00-4BE7-8B32-3CCAF692B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'12'!$L$6:$L$27</c:f>
              <c:numCache>
                <c:formatCode>_(* #,##0_);_(* \(#,##0\);_(* "-"_);_(@_)</c:formatCode>
                <c:ptCount val="22"/>
                <c:pt idx="0">
                  <c:v>6596</c:v>
                </c:pt>
                <c:pt idx="2">
                  <c:v>4081</c:v>
                </c:pt>
                <c:pt idx="3">
                  <c:v>4196</c:v>
                </c:pt>
                <c:pt idx="6">
                  <c:v>5014</c:v>
                </c:pt>
                <c:pt idx="7">
                  <c:v>23364</c:v>
                </c:pt>
                <c:pt idx="10">
                  <c:v>6212</c:v>
                </c:pt>
                <c:pt idx="13">
                  <c:v>526</c:v>
                </c:pt>
                <c:pt idx="14">
                  <c:v>16424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9-49EC-958B-1B296110179C}"/>
            </c:ext>
          </c:extLst>
        </c:ser>
        <c:ser>
          <c:idx val="1"/>
          <c:order val="1"/>
          <c:tx>
            <c:v>계획</c:v>
          </c:tx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'12'!$J$6:$J$27</c:f>
              <c:numCache>
                <c:formatCode>_(* #,##0_);_(* \(#,##0\);_(* "-"_);_(@_)</c:formatCode>
                <c:ptCount val="22"/>
                <c:pt idx="0">
                  <c:v>6596</c:v>
                </c:pt>
                <c:pt idx="1">
                  <c:v>18981</c:v>
                </c:pt>
                <c:pt idx="2">
                  <c:v>4081</c:v>
                </c:pt>
                <c:pt idx="3">
                  <c:v>4196</c:v>
                </c:pt>
                <c:pt idx="4">
                  <c:v>3828</c:v>
                </c:pt>
                <c:pt idx="5">
                  <c:v>6140</c:v>
                </c:pt>
                <c:pt idx="6">
                  <c:v>5014</c:v>
                </c:pt>
                <c:pt idx="7">
                  <c:v>23364</c:v>
                </c:pt>
                <c:pt idx="8">
                  <c:v>214</c:v>
                </c:pt>
                <c:pt idx="9">
                  <c:v>76</c:v>
                </c:pt>
                <c:pt idx="10">
                  <c:v>6212</c:v>
                </c:pt>
                <c:pt idx="11">
                  <c:v>3287</c:v>
                </c:pt>
                <c:pt idx="12">
                  <c:v>537</c:v>
                </c:pt>
                <c:pt idx="13">
                  <c:v>526</c:v>
                </c:pt>
                <c:pt idx="14">
                  <c:v>16242</c:v>
                </c:pt>
                <c:pt idx="15">
                  <c:v>57336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9-49EC-958B-1B296110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'12'!$AD$6:$AD$27</c:f>
              <c:strCache>
                <c:ptCount val="22"/>
                <c:pt idx="0">
                  <c:v>38%</c:v>
                </c:pt>
                <c:pt idx="1">
                  <c:v>0%</c:v>
                </c:pt>
                <c:pt idx="2">
                  <c:v>92%</c:v>
                </c:pt>
                <c:pt idx="3">
                  <c:v>83%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0%</c:v>
                </c:pt>
                <c:pt idx="13">
                  <c:v>50%</c:v>
                </c:pt>
                <c:pt idx="14">
                  <c:v>84%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'12'!$AD$6:$AD$27</c:f>
              <c:numCache>
                <c:formatCode>0%</c:formatCode>
                <c:ptCount val="22"/>
                <c:pt idx="0">
                  <c:v>0.375</c:v>
                </c:pt>
                <c:pt idx="1">
                  <c:v>0</c:v>
                </c:pt>
                <c:pt idx="2">
                  <c:v>0.91666666666666663</c:v>
                </c:pt>
                <c:pt idx="3">
                  <c:v>0.83333333333333337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0.84267126380166646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E-40A0-AC5F-CF4424357C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7E-40A0-AC5F-CF4424357C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3">
                  <c:v>ACTUATOR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ACTUATOR</c:v>
                </c:pt>
                <c:pt idx="11">
                  <c:v>LATCH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'12'!$AE$6:$AE$27</c:f>
              <c:numCache>
                <c:formatCode>0%</c:formatCode>
                <c:ptCount val="22"/>
                <c:pt idx="0">
                  <c:v>0.27504566350613635</c:v>
                </c:pt>
                <c:pt idx="1">
                  <c:v>0.27504566350613635</c:v>
                </c:pt>
                <c:pt idx="2">
                  <c:v>0.27504566350613635</c:v>
                </c:pt>
                <c:pt idx="3">
                  <c:v>0.27504566350613635</c:v>
                </c:pt>
                <c:pt idx="4">
                  <c:v>0.27504566350613635</c:v>
                </c:pt>
                <c:pt idx="5">
                  <c:v>0.27504566350613635</c:v>
                </c:pt>
                <c:pt idx="6">
                  <c:v>0.27504566350613635</c:v>
                </c:pt>
                <c:pt idx="7">
                  <c:v>0.27504566350613635</c:v>
                </c:pt>
                <c:pt idx="8">
                  <c:v>0.27504566350613635</c:v>
                </c:pt>
                <c:pt idx="9">
                  <c:v>0.27504566350613635</c:v>
                </c:pt>
                <c:pt idx="10">
                  <c:v>0.27504566350613635</c:v>
                </c:pt>
                <c:pt idx="11">
                  <c:v>0.27504566350613635</c:v>
                </c:pt>
                <c:pt idx="12">
                  <c:v>0.27504566350613635</c:v>
                </c:pt>
                <c:pt idx="13">
                  <c:v>0.27504566350613635</c:v>
                </c:pt>
                <c:pt idx="14">
                  <c:v>0.27504566350613635</c:v>
                </c:pt>
                <c:pt idx="15">
                  <c:v>0.27504566350613635</c:v>
                </c:pt>
                <c:pt idx="16">
                  <c:v>0.27504566350613635</c:v>
                </c:pt>
                <c:pt idx="17">
                  <c:v>0.27504566350613635</c:v>
                </c:pt>
                <c:pt idx="18">
                  <c:v>0.27504566350613635</c:v>
                </c:pt>
                <c:pt idx="19">
                  <c:v>0.27504566350613635</c:v>
                </c:pt>
                <c:pt idx="20">
                  <c:v>0.27504566350613635</c:v>
                </c:pt>
                <c:pt idx="21">
                  <c:v>0.27504566350613635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E-40A0-AC5F-CF4424357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9F5-4718-B423-0DC6BD1F21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5-4718-B423-0DC6BD1F2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9F5-4718-B423-0DC6BD1F21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5-4718-B423-0DC6BD1F2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'13'!$L$6:$L$27</c:f>
              <c:numCache>
                <c:formatCode>_(* #,##0_);_(* \(#,##0\);_(* "-"_);_(@_)</c:formatCode>
                <c:ptCount val="22"/>
                <c:pt idx="1">
                  <c:v>8514</c:v>
                </c:pt>
                <c:pt idx="2">
                  <c:v>12772</c:v>
                </c:pt>
                <c:pt idx="3">
                  <c:v>5464</c:v>
                </c:pt>
                <c:pt idx="4">
                  <c:v>300</c:v>
                </c:pt>
                <c:pt idx="5">
                  <c:v>300</c:v>
                </c:pt>
                <c:pt idx="6">
                  <c:v>2471</c:v>
                </c:pt>
                <c:pt idx="7">
                  <c:v>21016</c:v>
                </c:pt>
                <c:pt idx="10">
                  <c:v>290377</c:v>
                </c:pt>
                <c:pt idx="12">
                  <c:v>4272</c:v>
                </c:pt>
                <c:pt idx="13">
                  <c:v>800</c:v>
                </c:pt>
                <c:pt idx="14">
                  <c:v>3460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7-4D74-8C1C-DDD833F66D9E}"/>
            </c:ext>
          </c:extLst>
        </c:ser>
        <c:ser>
          <c:idx val="1"/>
          <c:order val="1"/>
          <c:tx>
            <c:v>계획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'13'!$J$6:$J$27</c:f>
              <c:numCache>
                <c:formatCode>_(* #,##0_);_(* \(#,##0\);_(* "-"_);_(@_)</c:formatCode>
                <c:ptCount val="22"/>
                <c:pt idx="0">
                  <c:v>6596</c:v>
                </c:pt>
                <c:pt idx="1">
                  <c:v>8514</c:v>
                </c:pt>
                <c:pt idx="2">
                  <c:v>12772</c:v>
                </c:pt>
                <c:pt idx="3">
                  <c:v>5464</c:v>
                </c:pt>
                <c:pt idx="4">
                  <c:v>300</c:v>
                </c:pt>
                <c:pt idx="5">
                  <c:v>300</c:v>
                </c:pt>
                <c:pt idx="6">
                  <c:v>2471</c:v>
                </c:pt>
                <c:pt idx="7">
                  <c:v>21016</c:v>
                </c:pt>
                <c:pt idx="8">
                  <c:v>214</c:v>
                </c:pt>
                <c:pt idx="9">
                  <c:v>76</c:v>
                </c:pt>
                <c:pt idx="10">
                  <c:v>290377</c:v>
                </c:pt>
                <c:pt idx="11">
                  <c:v>3287</c:v>
                </c:pt>
                <c:pt idx="12">
                  <c:v>4272</c:v>
                </c:pt>
                <c:pt idx="13">
                  <c:v>800</c:v>
                </c:pt>
                <c:pt idx="14">
                  <c:v>3460</c:v>
                </c:pt>
                <c:pt idx="15">
                  <c:v>57336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77-4D74-8C1C-DDD833F6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'13'!$AD$6:$AD$27</c:f>
              <c:strCache>
                <c:ptCount val="22"/>
                <c:pt idx="0">
                  <c:v>0%</c:v>
                </c:pt>
                <c:pt idx="1">
                  <c:v>54%</c:v>
                </c:pt>
                <c:pt idx="2">
                  <c:v>63%</c:v>
                </c:pt>
                <c:pt idx="3">
                  <c:v>100%</c:v>
                </c:pt>
                <c:pt idx="4">
                  <c:v>8%</c:v>
                </c:pt>
                <c:pt idx="5">
                  <c:v>17%</c:v>
                </c:pt>
                <c:pt idx="6">
                  <c:v>42%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25%</c:v>
                </c:pt>
                <c:pt idx="14">
                  <c:v>17%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'13'!$AD$6:$AD$27</c:f>
              <c:numCache>
                <c:formatCode>0%</c:formatCode>
                <c:ptCount val="22"/>
                <c:pt idx="0">
                  <c:v>0</c:v>
                </c:pt>
                <c:pt idx="1">
                  <c:v>0.54166666666666663</c:v>
                </c:pt>
                <c:pt idx="2">
                  <c:v>0.625</c:v>
                </c:pt>
                <c:pt idx="3">
                  <c:v>1</c:v>
                </c:pt>
                <c:pt idx="4">
                  <c:v>8.3333333333333329E-2</c:v>
                </c:pt>
                <c:pt idx="5">
                  <c:v>0.16666666666666666</c:v>
                </c:pt>
                <c:pt idx="6">
                  <c:v>0.41666666666666669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0.25</c:v>
                </c:pt>
                <c:pt idx="14">
                  <c:v>0.16666666666666666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6-4D86-BF93-90A8F324AA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86-4D86-BF93-90A8F324AA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'13'!$AE$6:$AE$27</c:f>
              <c:numCache>
                <c:formatCode>0%</c:formatCode>
                <c:ptCount val="22"/>
                <c:pt idx="0">
                  <c:v>0.27272727272727271</c:v>
                </c:pt>
                <c:pt idx="1">
                  <c:v>0.27272727272727271</c:v>
                </c:pt>
                <c:pt idx="2">
                  <c:v>0.27272727272727271</c:v>
                </c:pt>
                <c:pt idx="3">
                  <c:v>0.27272727272727271</c:v>
                </c:pt>
                <c:pt idx="4">
                  <c:v>0.27272727272727271</c:v>
                </c:pt>
                <c:pt idx="5">
                  <c:v>0.27272727272727271</c:v>
                </c:pt>
                <c:pt idx="6">
                  <c:v>0.27272727272727271</c:v>
                </c:pt>
                <c:pt idx="7">
                  <c:v>0.27272727272727271</c:v>
                </c:pt>
                <c:pt idx="8">
                  <c:v>0.27272727272727271</c:v>
                </c:pt>
                <c:pt idx="9">
                  <c:v>0.27272727272727271</c:v>
                </c:pt>
                <c:pt idx="10">
                  <c:v>0.27272727272727271</c:v>
                </c:pt>
                <c:pt idx="11">
                  <c:v>0.27272727272727271</c:v>
                </c:pt>
                <c:pt idx="12">
                  <c:v>0.27272727272727271</c:v>
                </c:pt>
                <c:pt idx="13">
                  <c:v>0.27272727272727271</c:v>
                </c:pt>
                <c:pt idx="14">
                  <c:v>0.27272727272727271</c:v>
                </c:pt>
                <c:pt idx="15">
                  <c:v>0.27272727272727271</c:v>
                </c:pt>
                <c:pt idx="16">
                  <c:v>0.27272727272727271</c:v>
                </c:pt>
                <c:pt idx="17">
                  <c:v>0.27272727272727271</c:v>
                </c:pt>
                <c:pt idx="18">
                  <c:v>0.27272727272727271</c:v>
                </c:pt>
                <c:pt idx="19">
                  <c:v>0.27272727272727271</c:v>
                </c:pt>
                <c:pt idx="20">
                  <c:v>0.27272727272727271</c:v>
                </c:pt>
                <c:pt idx="21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86-4D86-BF93-90A8F324A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'13'!$L$6:$L$27</c:f>
              <c:numCache>
                <c:formatCode>_(* #,##0_);_(* \(#,##0\);_(* "-"_);_(@_)</c:formatCode>
                <c:ptCount val="22"/>
                <c:pt idx="1">
                  <c:v>8514</c:v>
                </c:pt>
                <c:pt idx="2">
                  <c:v>12772</c:v>
                </c:pt>
                <c:pt idx="3">
                  <c:v>5464</c:v>
                </c:pt>
                <c:pt idx="4">
                  <c:v>300</c:v>
                </c:pt>
                <c:pt idx="5">
                  <c:v>300</c:v>
                </c:pt>
                <c:pt idx="6">
                  <c:v>2471</c:v>
                </c:pt>
                <c:pt idx="7">
                  <c:v>21016</c:v>
                </c:pt>
                <c:pt idx="10">
                  <c:v>290377</c:v>
                </c:pt>
                <c:pt idx="12">
                  <c:v>4272</c:v>
                </c:pt>
                <c:pt idx="13">
                  <c:v>800</c:v>
                </c:pt>
                <c:pt idx="14">
                  <c:v>3460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F6-890C-187FD48E08BC}"/>
            </c:ext>
          </c:extLst>
        </c:ser>
        <c:ser>
          <c:idx val="1"/>
          <c:order val="1"/>
          <c:tx>
            <c:v>계획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'13'!$J$6:$J$27</c:f>
              <c:numCache>
                <c:formatCode>_(* #,##0_);_(* \(#,##0\);_(* "-"_);_(@_)</c:formatCode>
                <c:ptCount val="22"/>
                <c:pt idx="0">
                  <c:v>6596</c:v>
                </c:pt>
                <c:pt idx="1">
                  <c:v>8514</c:v>
                </c:pt>
                <c:pt idx="2">
                  <c:v>12772</c:v>
                </c:pt>
                <c:pt idx="3">
                  <c:v>5464</c:v>
                </c:pt>
                <c:pt idx="4">
                  <c:v>300</c:v>
                </c:pt>
                <c:pt idx="5">
                  <c:v>300</c:v>
                </c:pt>
                <c:pt idx="6">
                  <c:v>2471</c:v>
                </c:pt>
                <c:pt idx="7">
                  <c:v>21016</c:v>
                </c:pt>
                <c:pt idx="8">
                  <c:v>214</c:v>
                </c:pt>
                <c:pt idx="9">
                  <c:v>76</c:v>
                </c:pt>
                <c:pt idx="10">
                  <c:v>290377</c:v>
                </c:pt>
                <c:pt idx="11">
                  <c:v>3287</c:v>
                </c:pt>
                <c:pt idx="12">
                  <c:v>4272</c:v>
                </c:pt>
                <c:pt idx="13">
                  <c:v>800</c:v>
                </c:pt>
                <c:pt idx="14">
                  <c:v>3460</c:v>
                </c:pt>
                <c:pt idx="15">
                  <c:v>57336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F6-890C-187FD48E0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'13'!$AD$6:$AD$27</c:f>
              <c:strCache>
                <c:ptCount val="22"/>
                <c:pt idx="0">
                  <c:v>0%</c:v>
                </c:pt>
                <c:pt idx="1">
                  <c:v>54%</c:v>
                </c:pt>
                <c:pt idx="2">
                  <c:v>63%</c:v>
                </c:pt>
                <c:pt idx="3">
                  <c:v>100%</c:v>
                </c:pt>
                <c:pt idx="4">
                  <c:v>8%</c:v>
                </c:pt>
                <c:pt idx="5">
                  <c:v>17%</c:v>
                </c:pt>
                <c:pt idx="6">
                  <c:v>42%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25%</c:v>
                </c:pt>
                <c:pt idx="14">
                  <c:v>17%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'13'!$AD$6:$AD$27</c:f>
              <c:numCache>
                <c:formatCode>0%</c:formatCode>
                <c:ptCount val="22"/>
                <c:pt idx="0">
                  <c:v>0</c:v>
                </c:pt>
                <c:pt idx="1">
                  <c:v>0.54166666666666663</c:v>
                </c:pt>
                <c:pt idx="2">
                  <c:v>0.625</c:v>
                </c:pt>
                <c:pt idx="3">
                  <c:v>1</c:v>
                </c:pt>
                <c:pt idx="4">
                  <c:v>8.3333333333333329E-2</c:v>
                </c:pt>
                <c:pt idx="5">
                  <c:v>0.16666666666666666</c:v>
                </c:pt>
                <c:pt idx="6">
                  <c:v>0.41666666666666669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0.25</c:v>
                </c:pt>
                <c:pt idx="14">
                  <c:v>0.16666666666666666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2-4F2F-BCFA-07E982A906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12-4F2F-BCFA-07E982A906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'13'!$AE$6:$AE$27</c:f>
              <c:numCache>
                <c:formatCode>0%</c:formatCode>
                <c:ptCount val="22"/>
                <c:pt idx="0">
                  <c:v>0.27272727272727271</c:v>
                </c:pt>
                <c:pt idx="1">
                  <c:v>0.27272727272727271</c:v>
                </c:pt>
                <c:pt idx="2">
                  <c:v>0.27272727272727271</c:v>
                </c:pt>
                <c:pt idx="3">
                  <c:v>0.27272727272727271</c:v>
                </c:pt>
                <c:pt idx="4">
                  <c:v>0.27272727272727271</c:v>
                </c:pt>
                <c:pt idx="5">
                  <c:v>0.27272727272727271</c:v>
                </c:pt>
                <c:pt idx="6">
                  <c:v>0.27272727272727271</c:v>
                </c:pt>
                <c:pt idx="7">
                  <c:v>0.27272727272727271</c:v>
                </c:pt>
                <c:pt idx="8">
                  <c:v>0.27272727272727271</c:v>
                </c:pt>
                <c:pt idx="9">
                  <c:v>0.27272727272727271</c:v>
                </c:pt>
                <c:pt idx="10">
                  <c:v>0.27272727272727271</c:v>
                </c:pt>
                <c:pt idx="11">
                  <c:v>0.27272727272727271</c:v>
                </c:pt>
                <c:pt idx="12">
                  <c:v>0.27272727272727271</c:v>
                </c:pt>
                <c:pt idx="13">
                  <c:v>0.27272727272727271</c:v>
                </c:pt>
                <c:pt idx="14">
                  <c:v>0.27272727272727271</c:v>
                </c:pt>
                <c:pt idx="15">
                  <c:v>0.27272727272727271</c:v>
                </c:pt>
                <c:pt idx="16">
                  <c:v>0.27272727272727271</c:v>
                </c:pt>
                <c:pt idx="17">
                  <c:v>0.27272727272727271</c:v>
                </c:pt>
                <c:pt idx="18">
                  <c:v>0.27272727272727271</c:v>
                </c:pt>
                <c:pt idx="19">
                  <c:v>0.27272727272727271</c:v>
                </c:pt>
                <c:pt idx="20">
                  <c:v>0.27272727272727271</c:v>
                </c:pt>
                <c:pt idx="21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12-4F2F-BCFA-07E982A90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969-437A-9438-6207827D4A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9-437A-9438-6207827D4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969-437A-9438-6207827D4A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9-437A-9438-6207827D4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'14'!$L$6:$L$27</c:f>
              <c:numCache>
                <c:formatCode>_(* #,##0_);_(* \(#,##0\);_(* "-"_);_(@_)</c:formatCode>
                <c:ptCount val="22"/>
                <c:pt idx="0">
                  <c:v>11490</c:v>
                </c:pt>
                <c:pt idx="1">
                  <c:v>22560</c:v>
                </c:pt>
                <c:pt idx="2">
                  <c:v>19804</c:v>
                </c:pt>
                <c:pt idx="3">
                  <c:v>5557</c:v>
                </c:pt>
                <c:pt idx="5">
                  <c:v>8826</c:v>
                </c:pt>
                <c:pt idx="6">
                  <c:v>18692</c:v>
                </c:pt>
                <c:pt idx="7">
                  <c:v>15924</c:v>
                </c:pt>
                <c:pt idx="10">
                  <c:v>321030</c:v>
                </c:pt>
                <c:pt idx="11">
                  <c:v>9208</c:v>
                </c:pt>
                <c:pt idx="12">
                  <c:v>5211</c:v>
                </c:pt>
                <c:pt idx="14">
                  <c:v>8466</c:v>
                </c:pt>
                <c:pt idx="15">
                  <c:v>30164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8-4E1A-AB6F-FB1C93849D5B}"/>
            </c:ext>
          </c:extLst>
        </c:ser>
        <c:ser>
          <c:idx val="1"/>
          <c:order val="1"/>
          <c:tx>
            <c:v>계획</c:v>
          </c:tx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'14'!$J$6:$J$27</c:f>
              <c:numCache>
                <c:formatCode>_(* #,##0_);_(* \(#,##0\);_(* "-"_);_(@_)</c:formatCode>
                <c:ptCount val="22"/>
                <c:pt idx="0">
                  <c:v>11490</c:v>
                </c:pt>
                <c:pt idx="1">
                  <c:v>22560</c:v>
                </c:pt>
                <c:pt idx="2">
                  <c:v>19804</c:v>
                </c:pt>
                <c:pt idx="3">
                  <c:v>5557</c:v>
                </c:pt>
                <c:pt idx="4">
                  <c:v>300</c:v>
                </c:pt>
                <c:pt idx="5">
                  <c:v>8826</c:v>
                </c:pt>
                <c:pt idx="6">
                  <c:v>18692</c:v>
                </c:pt>
                <c:pt idx="7">
                  <c:v>15924</c:v>
                </c:pt>
                <c:pt idx="8">
                  <c:v>214</c:v>
                </c:pt>
                <c:pt idx="9">
                  <c:v>76</c:v>
                </c:pt>
                <c:pt idx="10">
                  <c:v>321030</c:v>
                </c:pt>
                <c:pt idx="11">
                  <c:v>9208</c:v>
                </c:pt>
                <c:pt idx="12">
                  <c:v>5211</c:v>
                </c:pt>
                <c:pt idx="13">
                  <c:v>800</c:v>
                </c:pt>
                <c:pt idx="14">
                  <c:v>8466</c:v>
                </c:pt>
                <c:pt idx="15">
                  <c:v>30164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8-4E1A-AB6F-FB1C93849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'14'!$AD$6:$AD$27</c:f>
              <c:strCache>
                <c:ptCount val="22"/>
                <c:pt idx="0">
                  <c:v>79%</c:v>
                </c:pt>
                <c:pt idx="1">
                  <c:v>96%</c:v>
                </c:pt>
                <c:pt idx="2">
                  <c:v>88%</c:v>
                </c:pt>
                <c:pt idx="3">
                  <c:v>100%</c:v>
                </c:pt>
                <c:pt idx="4">
                  <c:v>0%</c:v>
                </c:pt>
                <c:pt idx="5">
                  <c:v>83%</c:v>
                </c:pt>
                <c:pt idx="6">
                  <c:v>96%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96%</c:v>
                </c:pt>
                <c:pt idx="13">
                  <c:v>0%</c:v>
                </c:pt>
                <c:pt idx="14">
                  <c:v>42%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'14'!$AD$6:$AD$27</c:f>
              <c:numCache>
                <c:formatCode>0%</c:formatCode>
                <c:ptCount val="22"/>
                <c:pt idx="0">
                  <c:v>0.79166666666666663</c:v>
                </c:pt>
                <c:pt idx="1">
                  <c:v>0.95833333333333337</c:v>
                </c:pt>
                <c:pt idx="2">
                  <c:v>0.875</c:v>
                </c:pt>
                <c:pt idx="3">
                  <c:v>1</c:v>
                </c:pt>
                <c:pt idx="4">
                  <c:v>0</c:v>
                </c:pt>
                <c:pt idx="5">
                  <c:v>0.83333333333333337</c:v>
                </c:pt>
                <c:pt idx="6">
                  <c:v>0.95833333333333337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0.41666666666666669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D-43F8-8A3C-901C4F5C03B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BD-43F8-8A3C-901C4F5C03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'14'!$AE$6:$AE$27</c:f>
              <c:numCache>
                <c:formatCode>0%</c:formatCode>
                <c:ptCount val="22"/>
                <c:pt idx="0">
                  <c:v>0.44886363636363635</c:v>
                </c:pt>
                <c:pt idx="1">
                  <c:v>0.44886363636363635</c:v>
                </c:pt>
                <c:pt idx="2">
                  <c:v>0.44886363636363635</c:v>
                </c:pt>
                <c:pt idx="3">
                  <c:v>0.44886363636363635</c:v>
                </c:pt>
                <c:pt idx="4">
                  <c:v>0.44886363636363635</c:v>
                </c:pt>
                <c:pt idx="5">
                  <c:v>0.44886363636363635</c:v>
                </c:pt>
                <c:pt idx="6">
                  <c:v>0.44886363636363635</c:v>
                </c:pt>
                <c:pt idx="7">
                  <c:v>0.44886363636363635</c:v>
                </c:pt>
                <c:pt idx="8">
                  <c:v>0.44886363636363635</c:v>
                </c:pt>
                <c:pt idx="9">
                  <c:v>0.44886363636363635</c:v>
                </c:pt>
                <c:pt idx="10">
                  <c:v>0.44886363636363635</c:v>
                </c:pt>
                <c:pt idx="11">
                  <c:v>0.44886363636363635</c:v>
                </c:pt>
                <c:pt idx="12">
                  <c:v>0.44886363636363635</c:v>
                </c:pt>
                <c:pt idx="13">
                  <c:v>0.44886363636363635</c:v>
                </c:pt>
                <c:pt idx="14">
                  <c:v>0.44886363636363635</c:v>
                </c:pt>
                <c:pt idx="15">
                  <c:v>0.44886363636363635</c:v>
                </c:pt>
                <c:pt idx="16">
                  <c:v>0.44886363636363635</c:v>
                </c:pt>
                <c:pt idx="17">
                  <c:v>0.44886363636363635</c:v>
                </c:pt>
                <c:pt idx="18">
                  <c:v>0.44886363636363635</c:v>
                </c:pt>
                <c:pt idx="19">
                  <c:v>0.44886363636363635</c:v>
                </c:pt>
                <c:pt idx="20">
                  <c:v>0.44886363636363635</c:v>
                </c:pt>
                <c:pt idx="21">
                  <c:v>0.44886363636363635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D-43F8-8A3C-901C4F5C0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'14'!$L$6:$L$27</c:f>
              <c:numCache>
                <c:formatCode>_(* #,##0_);_(* \(#,##0\);_(* "-"_);_(@_)</c:formatCode>
                <c:ptCount val="22"/>
                <c:pt idx="0">
                  <c:v>11490</c:v>
                </c:pt>
                <c:pt idx="1">
                  <c:v>22560</c:v>
                </c:pt>
                <c:pt idx="2">
                  <c:v>19804</c:v>
                </c:pt>
                <c:pt idx="3">
                  <c:v>5557</c:v>
                </c:pt>
                <c:pt idx="5">
                  <c:v>8826</c:v>
                </c:pt>
                <c:pt idx="6">
                  <c:v>18692</c:v>
                </c:pt>
                <c:pt idx="7">
                  <c:v>15924</c:v>
                </c:pt>
                <c:pt idx="10">
                  <c:v>321030</c:v>
                </c:pt>
                <c:pt idx="11">
                  <c:v>9208</c:v>
                </c:pt>
                <c:pt idx="12">
                  <c:v>5211</c:v>
                </c:pt>
                <c:pt idx="14">
                  <c:v>8466</c:v>
                </c:pt>
                <c:pt idx="15">
                  <c:v>30164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1-40F9-BC9D-5972D0960673}"/>
            </c:ext>
          </c:extLst>
        </c:ser>
        <c:ser>
          <c:idx val="1"/>
          <c:order val="1"/>
          <c:tx>
            <c:v>계획</c:v>
          </c:tx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'14'!$J$6:$J$27</c:f>
              <c:numCache>
                <c:formatCode>_(* #,##0_);_(* \(#,##0\);_(* "-"_);_(@_)</c:formatCode>
                <c:ptCount val="22"/>
                <c:pt idx="0">
                  <c:v>11490</c:v>
                </c:pt>
                <c:pt idx="1">
                  <c:v>22560</c:v>
                </c:pt>
                <c:pt idx="2">
                  <c:v>19804</c:v>
                </c:pt>
                <c:pt idx="3">
                  <c:v>5557</c:v>
                </c:pt>
                <c:pt idx="4">
                  <c:v>300</c:v>
                </c:pt>
                <c:pt idx="5">
                  <c:v>8826</c:v>
                </c:pt>
                <c:pt idx="6">
                  <c:v>18692</c:v>
                </c:pt>
                <c:pt idx="7">
                  <c:v>15924</c:v>
                </c:pt>
                <c:pt idx="8">
                  <c:v>214</c:v>
                </c:pt>
                <c:pt idx="9">
                  <c:v>76</c:v>
                </c:pt>
                <c:pt idx="10">
                  <c:v>321030</c:v>
                </c:pt>
                <c:pt idx="11">
                  <c:v>9208</c:v>
                </c:pt>
                <c:pt idx="12">
                  <c:v>5211</c:v>
                </c:pt>
                <c:pt idx="13">
                  <c:v>800</c:v>
                </c:pt>
                <c:pt idx="14">
                  <c:v>8466</c:v>
                </c:pt>
                <c:pt idx="15">
                  <c:v>30164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1-40F9-BC9D-5972D0960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'14'!$AD$6:$AD$27</c:f>
              <c:strCache>
                <c:ptCount val="22"/>
                <c:pt idx="0">
                  <c:v>79%</c:v>
                </c:pt>
                <c:pt idx="1">
                  <c:v>96%</c:v>
                </c:pt>
                <c:pt idx="2">
                  <c:v>88%</c:v>
                </c:pt>
                <c:pt idx="3">
                  <c:v>100%</c:v>
                </c:pt>
                <c:pt idx="4">
                  <c:v>0%</c:v>
                </c:pt>
                <c:pt idx="5">
                  <c:v>83%</c:v>
                </c:pt>
                <c:pt idx="6">
                  <c:v>96%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96%</c:v>
                </c:pt>
                <c:pt idx="13">
                  <c:v>0%</c:v>
                </c:pt>
                <c:pt idx="14">
                  <c:v>42%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'14'!$AD$6:$AD$27</c:f>
              <c:numCache>
                <c:formatCode>0%</c:formatCode>
                <c:ptCount val="22"/>
                <c:pt idx="0">
                  <c:v>0.79166666666666663</c:v>
                </c:pt>
                <c:pt idx="1">
                  <c:v>0.95833333333333337</c:v>
                </c:pt>
                <c:pt idx="2">
                  <c:v>0.875</c:v>
                </c:pt>
                <c:pt idx="3">
                  <c:v>1</c:v>
                </c:pt>
                <c:pt idx="4">
                  <c:v>0</c:v>
                </c:pt>
                <c:pt idx="5">
                  <c:v>0.83333333333333337</c:v>
                </c:pt>
                <c:pt idx="6">
                  <c:v>0.95833333333333337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0.41666666666666669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C-43CC-A97B-5800BFA9C0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4C-43CC-A97B-5800BFA9C0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LATCH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'14'!$AE$6:$AE$27</c:f>
              <c:numCache>
                <c:formatCode>0%</c:formatCode>
                <c:ptCount val="22"/>
                <c:pt idx="0">
                  <c:v>0.44886363636363635</c:v>
                </c:pt>
                <c:pt idx="1">
                  <c:v>0.44886363636363635</c:v>
                </c:pt>
                <c:pt idx="2">
                  <c:v>0.44886363636363635</c:v>
                </c:pt>
                <c:pt idx="3">
                  <c:v>0.44886363636363635</c:v>
                </c:pt>
                <c:pt idx="4">
                  <c:v>0.44886363636363635</c:v>
                </c:pt>
                <c:pt idx="5">
                  <c:v>0.44886363636363635</c:v>
                </c:pt>
                <c:pt idx="6">
                  <c:v>0.44886363636363635</c:v>
                </c:pt>
                <c:pt idx="7">
                  <c:v>0.44886363636363635</c:v>
                </c:pt>
                <c:pt idx="8">
                  <c:v>0.44886363636363635</c:v>
                </c:pt>
                <c:pt idx="9">
                  <c:v>0.44886363636363635</c:v>
                </c:pt>
                <c:pt idx="10">
                  <c:v>0.44886363636363635</c:v>
                </c:pt>
                <c:pt idx="11">
                  <c:v>0.44886363636363635</c:v>
                </c:pt>
                <c:pt idx="12">
                  <c:v>0.44886363636363635</c:v>
                </c:pt>
                <c:pt idx="13">
                  <c:v>0.44886363636363635</c:v>
                </c:pt>
                <c:pt idx="14">
                  <c:v>0.44886363636363635</c:v>
                </c:pt>
                <c:pt idx="15">
                  <c:v>0.44886363636363635</c:v>
                </c:pt>
                <c:pt idx="16">
                  <c:v>0.44886363636363635</c:v>
                </c:pt>
                <c:pt idx="17">
                  <c:v>0.44886363636363635</c:v>
                </c:pt>
                <c:pt idx="18">
                  <c:v>0.44886363636363635</c:v>
                </c:pt>
                <c:pt idx="19">
                  <c:v>0.44886363636363635</c:v>
                </c:pt>
                <c:pt idx="20">
                  <c:v>0.44886363636363635</c:v>
                </c:pt>
                <c:pt idx="21">
                  <c:v>0.44886363636363635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C-43CC-A97B-5800BFA9C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E5-451F-896C-48A387F991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5-451F-896C-48A387F99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7E5-451F-896C-48A387F991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5-451F-896C-48A387F99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'15'!$L$6:$L$28</c:f>
              <c:numCache>
                <c:formatCode>_(* #,##0_);_(* \(#,##0\);_(* "-"_);_(@_)</c:formatCode>
                <c:ptCount val="23"/>
                <c:pt idx="0">
                  <c:v>5924</c:v>
                </c:pt>
                <c:pt idx="1">
                  <c:v>3188</c:v>
                </c:pt>
                <c:pt idx="2">
                  <c:v>1689</c:v>
                </c:pt>
                <c:pt idx="3">
                  <c:v>21960</c:v>
                </c:pt>
                <c:pt idx="4">
                  <c:v>5479</c:v>
                </c:pt>
                <c:pt idx="6">
                  <c:v>5154</c:v>
                </c:pt>
                <c:pt idx="7">
                  <c:v>19448</c:v>
                </c:pt>
                <c:pt idx="8">
                  <c:v>26688</c:v>
                </c:pt>
                <c:pt idx="11">
                  <c:v>302316</c:v>
                </c:pt>
                <c:pt idx="12">
                  <c:v>12660</c:v>
                </c:pt>
                <c:pt idx="13">
                  <c:v>2783</c:v>
                </c:pt>
                <c:pt idx="15">
                  <c:v>14048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E3-428F-AFCD-32C033EF2E2D}"/>
            </c:ext>
          </c:extLst>
        </c:ser>
        <c:ser>
          <c:idx val="1"/>
          <c:order val="1"/>
          <c:tx>
            <c:v>계획</c:v>
          </c:tx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'15'!$J$6:$J$28</c:f>
              <c:numCache>
                <c:formatCode>_(* #,##0_);_(* \(#,##0\);_(* "-"_);_(@_)</c:formatCode>
                <c:ptCount val="23"/>
                <c:pt idx="0">
                  <c:v>5924</c:v>
                </c:pt>
                <c:pt idx="1">
                  <c:v>3188</c:v>
                </c:pt>
                <c:pt idx="2">
                  <c:v>1689</c:v>
                </c:pt>
                <c:pt idx="3">
                  <c:v>21960</c:v>
                </c:pt>
                <c:pt idx="4">
                  <c:v>5479</c:v>
                </c:pt>
                <c:pt idx="5">
                  <c:v>300</c:v>
                </c:pt>
                <c:pt idx="6">
                  <c:v>5154</c:v>
                </c:pt>
                <c:pt idx="7">
                  <c:v>19448</c:v>
                </c:pt>
                <c:pt idx="8">
                  <c:v>26688</c:v>
                </c:pt>
                <c:pt idx="9">
                  <c:v>214</c:v>
                </c:pt>
                <c:pt idx="10">
                  <c:v>76</c:v>
                </c:pt>
                <c:pt idx="11">
                  <c:v>302316</c:v>
                </c:pt>
                <c:pt idx="12">
                  <c:v>12660</c:v>
                </c:pt>
                <c:pt idx="13">
                  <c:v>2783</c:v>
                </c:pt>
                <c:pt idx="14">
                  <c:v>800</c:v>
                </c:pt>
                <c:pt idx="15">
                  <c:v>14048</c:v>
                </c:pt>
                <c:pt idx="16">
                  <c:v>30164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E3-428F-AFCD-32C033EF2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'15'!$AD$6:$AD$28</c:f>
              <c:strCache>
                <c:ptCount val="23"/>
                <c:pt idx="0">
                  <c:v>25%</c:v>
                </c:pt>
                <c:pt idx="1">
                  <c:v>17%</c:v>
                </c:pt>
                <c:pt idx="2">
                  <c:v>33%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46%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58%</c:v>
                </c:pt>
                <c:pt idx="14">
                  <c:v>0%</c:v>
                </c:pt>
                <c:pt idx="15">
                  <c:v>83%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'15'!$AD$6:$AD$28</c:f>
              <c:numCache>
                <c:formatCode>0%</c:formatCode>
                <c:ptCount val="23"/>
                <c:pt idx="0">
                  <c:v>0.25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0.45833333333333331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0.58333333333333337</c:v>
                </c:pt>
                <c:pt idx="14">
                  <c:v>0</c:v>
                </c:pt>
                <c:pt idx="15">
                  <c:v>0.83333333333333337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E-4E01-A260-779956A5A59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7E-4E01-A260-779956A5A5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'15'!$AE$6:$AE$28</c:f>
              <c:numCache>
                <c:formatCode>0%</c:formatCode>
                <c:ptCount val="23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  <c:pt idx="15">
                  <c:v>0.375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  <c:pt idx="22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7E-4E01-A260-779956A5A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'15'!$L$6:$L$28</c:f>
              <c:numCache>
                <c:formatCode>_(* #,##0_);_(* \(#,##0\);_(* "-"_);_(@_)</c:formatCode>
                <c:ptCount val="23"/>
                <c:pt idx="0">
                  <c:v>5924</c:v>
                </c:pt>
                <c:pt idx="1">
                  <c:v>3188</c:v>
                </c:pt>
                <c:pt idx="2">
                  <c:v>1689</c:v>
                </c:pt>
                <c:pt idx="3">
                  <c:v>21960</c:v>
                </c:pt>
                <c:pt idx="4">
                  <c:v>5479</c:v>
                </c:pt>
                <c:pt idx="6">
                  <c:v>5154</c:v>
                </c:pt>
                <c:pt idx="7">
                  <c:v>19448</c:v>
                </c:pt>
                <c:pt idx="8">
                  <c:v>26688</c:v>
                </c:pt>
                <c:pt idx="11">
                  <c:v>302316</c:v>
                </c:pt>
                <c:pt idx="12">
                  <c:v>12660</c:v>
                </c:pt>
                <c:pt idx="13">
                  <c:v>2783</c:v>
                </c:pt>
                <c:pt idx="15">
                  <c:v>14048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C-44BE-BB21-D24FDDB05A3D}"/>
            </c:ext>
          </c:extLst>
        </c:ser>
        <c:ser>
          <c:idx val="1"/>
          <c:order val="1"/>
          <c:tx>
            <c:v>계획</c:v>
          </c:tx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'15'!$J$6:$J$28</c:f>
              <c:numCache>
                <c:formatCode>_(* #,##0_);_(* \(#,##0\);_(* "-"_);_(@_)</c:formatCode>
                <c:ptCount val="23"/>
                <c:pt idx="0">
                  <c:v>5924</c:v>
                </c:pt>
                <c:pt idx="1">
                  <c:v>3188</c:v>
                </c:pt>
                <c:pt idx="2">
                  <c:v>1689</c:v>
                </c:pt>
                <c:pt idx="3">
                  <c:v>21960</c:v>
                </c:pt>
                <c:pt idx="4">
                  <c:v>5479</c:v>
                </c:pt>
                <c:pt idx="5">
                  <c:v>300</c:v>
                </c:pt>
                <c:pt idx="6">
                  <c:v>5154</c:v>
                </c:pt>
                <c:pt idx="7">
                  <c:v>19448</c:v>
                </c:pt>
                <c:pt idx="8">
                  <c:v>26688</c:v>
                </c:pt>
                <c:pt idx="9">
                  <c:v>214</c:v>
                </c:pt>
                <c:pt idx="10">
                  <c:v>76</c:v>
                </c:pt>
                <c:pt idx="11">
                  <c:v>302316</c:v>
                </c:pt>
                <c:pt idx="12">
                  <c:v>12660</c:v>
                </c:pt>
                <c:pt idx="13">
                  <c:v>2783</c:v>
                </c:pt>
                <c:pt idx="14">
                  <c:v>800</c:v>
                </c:pt>
                <c:pt idx="15">
                  <c:v>14048</c:v>
                </c:pt>
                <c:pt idx="16">
                  <c:v>30164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C-44BE-BB21-D24FDDB05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'15'!$AD$6:$AD$28</c:f>
              <c:strCache>
                <c:ptCount val="23"/>
                <c:pt idx="0">
                  <c:v>25%</c:v>
                </c:pt>
                <c:pt idx="1">
                  <c:v>17%</c:v>
                </c:pt>
                <c:pt idx="2">
                  <c:v>33%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46%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58%</c:v>
                </c:pt>
                <c:pt idx="14">
                  <c:v>0%</c:v>
                </c:pt>
                <c:pt idx="15">
                  <c:v>83%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'15'!$AD$6:$AD$28</c:f>
              <c:numCache>
                <c:formatCode>0%</c:formatCode>
                <c:ptCount val="23"/>
                <c:pt idx="0">
                  <c:v>0.25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0.45833333333333331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0.58333333333333337</c:v>
                </c:pt>
                <c:pt idx="14">
                  <c:v>0</c:v>
                </c:pt>
                <c:pt idx="15">
                  <c:v>0.83333333333333337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E-448C-8582-AC0EC628C45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8E-448C-8582-AC0EC628C4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FLOATING</c:v>
                </c:pt>
                <c:pt idx="3">
                  <c:v>COVER</c:v>
                </c:pt>
                <c:pt idx="4">
                  <c:v>ACTUATOR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LATCH</c:v>
                </c:pt>
                <c:pt idx="13">
                  <c:v>BASE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'15'!$AE$6:$AE$28</c:f>
              <c:numCache>
                <c:formatCode>0%</c:formatCode>
                <c:ptCount val="23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  <c:pt idx="15">
                  <c:v>0.375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  <c:pt idx="22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8E-448C-8582-AC0EC628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73A-4475-8C7F-37ADBC2B10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3A-4475-8C7F-37ADBC2B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73A-4475-8C7F-37ADBC2B10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A-4475-8C7F-37ADBC2B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'16'!$L$6:$L$27</c:f>
              <c:numCache>
                <c:formatCode>_(* #,##0_);_(* \(#,##0\);_(* "-"_);_(@_)</c:formatCode>
                <c:ptCount val="22"/>
                <c:pt idx="0">
                  <c:v>15136</c:v>
                </c:pt>
                <c:pt idx="1">
                  <c:v>20424</c:v>
                </c:pt>
                <c:pt idx="2">
                  <c:v>17054</c:v>
                </c:pt>
                <c:pt idx="3">
                  <c:v>4965</c:v>
                </c:pt>
                <c:pt idx="6">
                  <c:v>18552</c:v>
                </c:pt>
                <c:pt idx="7">
                  <c:v>25520</c:v>
                </c:pt>
                <c:pt idx="10">
                  <c:v>245952</c:v>
                </c:pt>
                <c:pt idx="11">
                  <c:v>1658</c:v>
                </c:pt>
                <c:pt idx="12">
                  <c:v>2161</c:v>
                </c:pt>
                <c:pt idx="13">
                  <c:v>2413</c:v>
                </c:pt>
                <c:pt idx="14">
                  <c:v>14809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9-4184-A4BB-E43EAB58C94D}"/>
            </c:ext>
          </c:extLst>
        </c:ser>
        <c:ser>
          <c:idx val="1"/>
          <c:order val="1"/>
          <c:tx>
            <c:v>계획</c:v>
          </c:tx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'16'!$J$6:$J$27</c:f>
              <c:numCache>
                <c:formatCode>_(* #,##0_);_(* \(#,##0\);_(* "-"_);_(@_)</c:formatCode>
                <c:ptCount val="22"/>
                <c:pt idx="0">
                  <c:v>15136</c:v>
                </c:pt>
                <c:pt idx="1">
                  <c:v>20424</c:v>
                </c:pt>
                <c:pt idx="2">
                  <c:v>17054</c:v>
                </c:pt>
                <c:pt idx="3">
                  <c:v>4965</c:v>
                </c:pt>
                <c:pt idx="4">
                  <c:v>300</c:v>
                </c:pt>
                <c:pt idx="5">
                  <c:v>5154</c:v>
                </c:pt>
                <c:pt idx="6">
                  <c:v>18552</c:v>
                </c:pt>
                <c:pt idx="7">
                  <c:v>25520</c:v>
                </c:pt>
                <c:pt idx="8">
                  <c:v>214</c:v>
                </c:pt>
                <c:pt idx="9">
                  <c:v>76</c:v>
                </c:pt>
                <c:pt idx="10">
                  <c:v>245952</c:v>
                </c:pt>
                <c:pt idx="11">
                  <c:v>1658</c:v>
                </c:pt>
                <c:pt idx="12">
                  <c:v>2161</c:v>
                </c:pt>
                <c:pt idx="13">
                  <c:v>2413</c:v>
                </c:pt>
                <c:pt idx="14">
                  <c:v>14809</c:v>
                </c:pt>
                <c:pt idx="15">
                  <c:v>30164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9-4184-A4BB-E43EAB58C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'16'!$AD$6:$AD$27</c:f>
              <c:strCache>
                <c:ptCount val="22"/>
                <c:pt idx="0">
                  <c:v>83%</c:v>
                </c:pt>
                <c:pt idx="1">
                  <c:v>100%</c:v>
                </c:pt>
                <c:pt idx="2">
                  <c:v>96%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38%</c:v>
                </c:pt>
                <c:pt idx="12">
                  <c:v>42%</c:v>
                </c:pt>
                <c:pt idx="13">
                  <c:v>71%</c:v>
                </c:pt>
                <c:pt idx="14">
                  <c:v>88%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1</c:v>
                </c:pt>
                <c:pt idx="2">
                  <c:v>0.95833333333333337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0.375</c:v>
                </c:pt>
                <c:pt idx="12">
                  <c:v>0.41666666666666669</c:v>
                </c:pt>
                <c:pt idx="13">
                  <c:v>0.70833333333333337</c:v>
                </c:pt>
                <c:pt idx="14">
                  <c:v>0.875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D-4191-993C-8FDFF66C816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9D-4191-993C-8FDFF66C81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'16'!$AE$6:$AE$27</c:f>
              <c:numCache>
                <c:formatCode>0%</c:formatCode>
                <c:ptCount val="22"/>
                <c:pt idx="0">
                  <c:v>0.41666666666666674</c:v>
                </c:pt>
                <c:pt idx="1">
                  <c:v>0.41666666666666674</c:v>
                </c:pt>
                <c:pt idx="2">
                  <c:v>0.41666666666666674</c:v>
                </c:pt>
                <c:pt idx="3">
                  <c:v>0.41666666666666674</c:v>
                </c:pt>
                <c:pt idx="4">
                  <c:v>0.41666666666666674</c:v>
                </c:pt>
                <c:pt idx="5">
                  <c:v>0.41666666666666674</c:v>
                </c:pt>
                <c:pt idx="6">
                  <c:v>0.41666666666666674</c:v>
                </c:pt>
                <c:pt idx="7">
                  <c:v>0.41666666666666674</c:v>
                </c:pt>
                <c:pt idx="8">
                  <c:v>0.41666666666666674</c:v>
                </c:pt>
                <c:pt idx="9">
                  <c:v>0.41666666666666674</c:v>
                </c:pt>
                <c:pt idx="10">
                  <c:v>0.41666666666666674</c:v>
                </c:pt>
                <c:pt idx="11">
                  <c:v>0.41666666666666674</c:v>
                </c:pt>
                <c:pt idx="12">
                  <c:v>0.41666666666666674</c:v>
                </c:pt>
                <c:pt idx="13">
                  <c:v>0.41666666666666674</c:v>
                </c:pt>
                <c:pt idx="14">
                  <c:v>0.41666666666666674</c:v>
                </c:pt>
                <c:pt idx="15">
                  <c:v>0.41666666666666674</c:v>
                </c:pt>
                <c:pt idx="16">
                  <c:v>0.41666666666666674</c:v>
                </c:pt>
                <c:pt idx="17">
                  <c:v>0.41666666666666674</c:v>
                </c:pt>
                <c:pt idx="18">
                  <c:v>0.41666666666666674</c:v>
                </c:pt>
                <c:pt idx="19">
                  <c:v>0.41666666666666674</c:v>
                </c:pt>
                <c:pt idx="20">
                  <c:v>0.41666666666666674</c:v>
                </c:pt>
                <c:pt idx="21">
                  <c:v>0.41666666666666674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9D-4191-993C-8FDFF66C8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'16'!$L$6:$L$27</c:f>
              <c:numCache>
                <c:formatCode>_(* #,##0_);_(* \(#,##0\);_(* "-"_);_(@_)</c:formatCode>
                <c:ptCount val="22"/>
                <c:pt idx="0">
                  <c:v>15136</c:v>
                </c:pt>
                <c:pt idx="1">
                  <c:v>20424</c:v>
                </c:pt>
                <c:pt idx="2">
                  <c:v>17054</c:v>
                </c:pt>
                <c:pt idx="3">
                  <c:v>4965</c:v>
                </c:pt>
                <c:pt idx="6">
                  <c:v>18552</c:v>
                </c:pt>
                <c:pt idx="7">
                  <c:v>25520</c:v>
                </c:pt>
                <c:pt idx="10">
                  <c:v>245952</c:v>
                </c:pt>
                <c:pt idx="11">
                  <c:v>1658</c:v>
                </c:pt>
                <c:pt idx="12">
                  <c:v>2161</c:v>
                </c:pt>
                <c:pt idx="13">
                  <c:v>2413</c:v>
                </c:pt>
                <c:pt idx="14">
                  <c:v>14809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C-42C6-B12A-4D91A3579DA7}"/>
            </c:ext>
          </c:extLst>
        </c:ser>
        <c:ser>
          <c:idx val="1"/>
          <c:order val="1"/>
          <c:tx>
            <c:v>계획</c:v>
          </c:tx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'16'!$J$6:$J$27</c:f>
              <c:numCache>
                <c:formatCode>_(* #,##0_);_(* \(#,##0\);_(* "-"_);_(@_)</c:formatCode>
                <c:ptCount val="22"/>
                <c:pt idx="0">
                  <c:v>15136</c:v>
                </c:pt>
                <c:pt idx="1">
                  <c:v>20424</c:v>
                </c:pt>
                <c:pt idx="2">
                  <c:v>17054</c:v>
                </c:pt>
                <c:pt idx="3">
                  <c:v>4965</c:v>
                </c:pt>
                <c:pt idx="4">
                  <c:v>300</c:v>
                </c:pt>
                <c:pt idx="5">
                  <c:v>5154</c:v>
                </c:pt>
                <c:pt idx="6">
                  <c:v>18552</c:v>
                </c:pt>
                <c:pt idx="7">
                  <c:v>25520</c:v>
                </c:pt>
                <c:pt idx="8">
                  <c:v>214</c:v>
                </c:pt>
                <c:pt idx="9">
                  <c:v>76</c:v>
                </c:pt>
                <c:pt idx="10">
                  <c:v>245952</c:v>
                </c:pt>
                <c:pt idx="11">
                  <c:v>1658</c:v>
                </c:pt>
                <c:pt idx="12">
                  <c:v>2161</c:v>
                </c:pt>
                <c:pt idx="13">
                  <c:v>2413</c:v>
                </c:pt>
                <c:pt idx="14">
                  <c:v>14809</c:v>
                </c:pt>
                <c:pt idx="15">
                  <c:v>30164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C-42C6-B12A-4D91A3579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'16'!$AD$6:$AD$27</c:f>
              <c:strCache>
                <c:ptCount val="22"/>
                <c:pt idx="0">
                  <c:v>83%</c:v>
                </c:pt>
                <c:pt idx="1">
                  <c:v>100%</c:v>
                </c:pt>
                <c:pt idx="2">
                  <c:v>96%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38%</c:v>
                </c:pt>
                <c:pt idx="12">
                  <c:v>42%</c:v>
                </c:pt>
                <c:pt idx="13">
                  <c:v>71%</c:v>
                </c:pt>
                <c:pt idx="14">
                  <c:v>88%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1</c:v>
                </c:pt>
                <c:pt idx="2">
                  <c:v>0.95833333333333337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0.375</c:v>
                </c:pt>
                <c:pt idx="12">
                  <c:v>0.41666666666666669</c:v>
                </c:pt>
                <c:pt idx="13">
                  <c:v>0.70833333333333337</c:v>
                </c:pt>
                <c:pt idx="14">
                  <c:v>0.875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4-4443-BB89-FAA098DABE1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84-4443-BB89-FAA098DABE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ADAPTER</c:v>
                </c:pt>
                <c:pt idx="12">
                  <c:v>TOP/BOTTOM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'16'!$AE$6:$AE$27</c:f>
              <c:numCache>
                <c:formatCode>0%</c:formatCode>
                <c:ptCount val="22"/>
                <c:pt idx="0">
                  <c:v>0.41666666666666674</c:v>
                </c:pt>
                <c:pt idx="1">
                  <c:v>0.41666666666666674</c:v>
                </c:pt>
                <c:pt idx="2">
                  <c:v>0.41666666666666674</c:v>
                </c:pt>
                <c:pt idx="3">
                  <c:v>0.41666666666666674</c:v>
                </c:pt>
                <c:pt idx="4">
                  <c:v>0.41666666666666674</c:v>
                </c:pt>
                <c:pt idx="5">
                  <c:v>0.41666666666666674</c:v>
                </c:pt>
                <c:pt idx="6">
                  <c:v>0.41666666666666674</c:v>
                </c:pt>
                <c:pt idx="7">
                  <c:v>0.41666666666666674</c:v>
                </c:pt>
                <c:pt idx="8">
                  <c:v>0.41666666666666674</c:v>
                </c:pt>
                <c:pt idx="9">
                  <c:v>0.41666666666666674</c:v>
                </c:pt>
                <c:pt idx="10">
                  <c:v>0.41666666666666674</c:v>
                </c:pt>
                <c:pt idx="11">
                  <c:v>0.41666666666666674</c:v>
                </c:pt>
                <c:pt idx="12">
                  <c:v>0.41666666666666674</c:v>
                </c:pt>
                <c:pt idx="13">
                  <c:v>0.41666666666666674</c:v>
                </c:pt>
                <c:pt idx="14">
                  <c:v>0.41666666666666674</c:v>
                </c:pt>
                <c:pt idx="15">
                  <c:v>0.41666666666666674</c:v>
                </c:pt>
                <c:pt idx="16">
                  <c:v>0.41666666666666674</c:v>
                </c:pt>
                <c:pt idx="17">
                  <c:v>0.41666666666666674</c:v>
                </c:pt>
                <c:pt idx="18">
                  <c:v>0.41666666666666674</c:v>
                </c:pt>
                <c:pt idx="19">
                  <c:v>0.41666666666666674</c:v>
                </c:pt>
                <c:pt idx="20">
                  <c:v>0.41666666666666674</c:v>
                </c:pt>
                <c:pt idx="21">
                  <c:v>0.41666666666666674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84-4443-BB89-FAA098DAB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B73-4EE5-AA41-099164163B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3-4EE5-AA41-099164163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B73-4EE5-AA41-099164163B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73-4EE5-AA41-099164163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'19'!$L$6:$L$28</c:f>
              <c:numCache>
                <c:formatCode>_(* #,##0_);_(* \(#,##0\);_(* "-"_);_(@_)</c:formatCode>
                <c:ptCount val="23"/>
                <c:pt idx="0">
                  <c:v>17956</c:v>
                </c:pt>
                <c:pt idx="1">
                  <c:v>3239</c:v>
                </c:pt>
                <c:pt idx="2">
                  <c:v>100</c:v>
                </c:pt>
                <c:pt idx="3">
                  <c:v>100</c:v>
                </c:pt>
                <c:pt idx="4">
                  <c:v>2149</c:v>
                </c:pt>
                <c:pt idx="8">
                  <c:v>8240</c:v>
                </c:pt>
                <c:pt idx="12">
                  <c:v>4231</c:v>
                </c:pt>
                <c:pt idx="15">
                  <c:v>10420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6-4EEF-989A-A89E90DE6B46}"/>
            </c:ext>
          </c:extLst>
        </c:ser>
        <c:ser>
          <c:idx val="1"/>
          <c:order val="1"/>
          <c:tx>
            <c:v>계획</c:v>
          </c:tx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'19'!$J$6:$J$28</c:f>
              <c:numCache>
                <c:formatCode>_(* #,##0_);_(* \(#,##0\);_(* "-"_);_(@_)</c:formatCode>
                <c:ptCount val="23"/>
                <c:pt idx="0">
                  <c:v>17956</c:v>
                </c:pt>
                <c:pt idx="1">
                  <c:v>3239</c:v>
                </c:pt>
                <c:pt idx="2">
                  <c:v>100</c:v>
                </c:pt>
                <c:pt idx="3">
                  <c:v>100</c:v>
                </c:pt>
                <c:pt idx="4">
                  <c:v>2149</c:v>
                </c:pt>
                <c:pt idx="5">
                  <c:v>300</c:v>
                </c:pt>
                <c:pt idx="6">
                  <c:v>5154</c:v>
                </c:pt>
                <c:pt idx="7">
                  <c:v>18552</c:v>
                </c:pt>
                <c:pt idx="8">
                  <c:v>8240</c:v>
                </c:pt>
                <c:pt idx="9">
                  <c:v>214</c:v>
                </c:pt>
                <c:pt idx="10">
                  <c:v>76</c:v>
                </c:pt>
                <c:pt idx="11">
                  <c:v>245952</c:v>
                </c:pt>
                <c:pt idx="12">
                  <c:v>4231</c:v>
                </c:pt>
                <c:pt idx="13">
                  <c:v>2161</c:v>
                </c:pt>
                <c:pt idx="14">
                  <c:v>2413</c:v>
                </c:pt>
                <c:pt idx="15">
                  <c:v>10420</c:v>
                </c:pt>
                <c:pt idx="16">
                  <c:v>30164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6-4EEF-989A-A89E90DE6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'19'!$AD$6:$AD$28</c:f>
              <c:strCache>
                <c:ptCount val="23"/>
                <c:pt idx="0">
                  <c:v>92%</c:v>
                </c:pt>
                <c:pt idx="1">
                  <c:v>79%</c:v>
                </c:pt>
                <c:pt idx="2">
                  <c:v>13%</c:v>
                </c:pt>
                <c:pt idx="3">
                  <c:v>13%</c:v>
                </c:pt>
                <c:pt idx="4">
                  <c:v>42%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0%</c:v>
                </c:pt>
                <c:pt idx="15">
                  <c:v>54%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'19'!$AD$6:$AD$28</c:f>
              <c:numCache>
                <c:formatCode>0%</c:formatCode>
                <c:ptCount val="23"/>
                <c:pt idx="0">
                  <c:v>0.91666666666666663</c:v>
                </c:pt>
                <c:pt idx="1">
                  <c:v>0.79166666666666663</c:v>
                </c:pt>
                <c:pt idx="2">
                  <c:v>0.125</c:v>
                </c:pt>
                <c:pt idx="3">
                  <c:v>0.125</c:v>
                </c:pt>
                <c:pt idx="4">
                  <c:v>0.41666666666666669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</c:v>
                </c:pt>
                <c:pt idx="14">
                  <c:v>0</c:v>
                </c:pt>
                <c:pt idx="15">
                  <c:v>0.54166666666666663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8E-4D22-B1A2-36E8BCC1A8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8E-4D22-B1A2-36E8BCC1A8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'19'!$AE$6:$AE$28</c:f>
              <c:numCache>
                <c:formatCode>0%</c:formatCode>
                <c:ptCount val="23"/>
                <c:pt idx="0">
                  <c:v>0.18659420289855075</c:v>
                </c:pt>
                <c:pt idx="1">
                  <c:v>0.18659420289855075</c:v>
                </c:pt>
                <c:pt idx="2">
                  <c:v>0.18659420289855075</c:v>
                </c:pt>
                <c:pt idx="3">
                  <c:v>0.18659420289855075</c:v>
                </c:pt>
                <c:pt idx="4">
                  <c:v>0.18659420289855075</c:v>
                </c:pt>
                <c:pt idx="5">
                  <c:v>0.18659420289855075</c:v>
                </c:pt>
                <c:pt idx="6">
                  <c:v>0.18659420289855075</c:v>
                </c:pt>
                <c:pt idx="7">
                  <c:v>0.18659420289855075</c:v>
                </c:pt>
                <c:pt idx="8">
                  <c:v>0.18659420289855075</c:v>
                </c:pt>
                <c:pt idx="9">
                  <c:v>0.18659420289855075</c:v>
                </c:pt>
                <c:pt idx="10">
                  <c:v>0.18659420289855075</c:v>
                </c:pt>
                <c:pt idx="11">
                  <c:v>0.18659420289855075</c:v>
                </c:pt>
                <c:pt idx="12">
                  <c:v>0.18659420289855075</c:v>
                </c:pt>
                <c:pt idx="13">
                  <c:v>0.18659420289855075</c:v>
                </c:pt>
                <c:pt idx="14">
                  <c:v>0.18659420289855075</c:v>
                </c:pt>
                <c:pt idx="15">
                  <c:v>0.18659420289855075</c:v>
                </c:pt>
                <c:pt idx="16">
                  <c:v>0.18659420289855075</c:v>
                </c:pt>
                <c:pt idx="17">
                  <c:v>0.18659420289855075</c:v>
                </c:pt>
                <c:pt idx="18">
                  <c:v>0.18659420289855075</c:v>
                </c:pt>
                <c:pt idx="19">
                  <c:v>0.18659420289855075</c:v>
                </c:pt>
                <c:pt idx="20">
                  <c:v>0.18659420289855075</c:v>
                </c:pt>
                <c:pt idx="21">
                  <c:v>0.18659420289855075</c:v>
                </c:pt>
                <c:pt idx="22">
                  <c:v>0.18659420289855075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8E-4D22-B1A2-36E8BCC1A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'19'!$L$6:$L$28</c:f>
              <c:numCache>
                <c:formatCode>_(* #,##0_);_(* \(#,##0\);_(* "-"_);_(@_)</c:formatCode>
                <c:ptCount val="23"/>
                <c:pt idx="0">
                  <c:v>17956</c:v>
                </c:pt>
                <c:pt idx="1">
                  <c:v>3239</c:v>
                </c:pt>
                <c:pt idx="2">
                  <c:v>100</c:v>
                </c:pt>
                <c:pt idx="3">
                  <c:v>100</c:v>
                </c:pt>
                <c:pt idx="4">
                  <c:v>2149</c:v>
                </c:pt>
                <c:pt idx="8">
                  <c:v>8240</c:v>
                </c:pt>
                <c:pt idx="12">
                  <c:v>4231</c:v>
                </c:pt>
                <c:pt idx="15">
                  <c:v>10420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C-4BEE-83EB-FB8EE9615A9E}"/>
            </c:ext>
          </c:extLst>
        </c:ser>
        <c:ser>
          <c:idx val="1"/>
          <c:order val="1"/>
          <c:tx>
            <c:v>계획</c:v>
          </c:tx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'19'!$J$6:$J$28</c:f>
              <c:numCache>
                <c:formatCode>_(* #,##0_);_(* \(#,##0\);_(* "-"_);_(@_)</c:formatCode>
                <c:ptCount val="23"/>
                <c:pt idx="0">
                  <c:v>17956</c:v>
                </c:pt>
                <c:pt idx="1">
                  <c:v>3239</c:v>
                </c:pt>
                <c:pt idx="2">
                  <c:v>100</c:v>
                </c:pt>
                <c:pt idx="3">
                  <c:v>100</c:v>
                </c:pt>
                <c:pt idx="4">
                  <c:v>2149</c:v>
                </c:pt>
                <c:pt idx="5">
                  <c:v>300</c:v>
                </c:pt>
                <c:pt idx="6">
                  <c:v>5154</c:v>
                </c:pt>
                <c:pt idx="7">
                  <c:v>18552</c:v>
                </c:pt>
                <c:pt idx="8">
                  <c:v>8240</c:v>
                </c:pt>
                <c:pt idx="9">
                  <c:v>214</c:v>
                </c:pt>
                <c:pt idx="10">
                  <c:v>76</c:v>
                </c:pt>
                <c:pt idx="11">
                  <c:v>245952</c:v>
                </c:pt>
                <c:pt idx="12">
                  <c:v>4231</c:v>
                </c:pt>
                <c:pt idx="13">
                  <c:v>2161</c:v>
                </c:pt>
                <c:pt idx="14">
                  <c:v>2413</c:v>
                </c:pt>
                <c:pt idx="15">
                  <c:v>10420</c:v>
                </c:pt>
                <c:pt idx="16">
                  <c:v>30164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1C-4BEE-83EB-FB8EE9615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'19'!$AD$6:$AD$28</c:f>
              <c:strCache>
                <c:ptCount val="23"/>
                <c:pt idx="0">
                  <c:v>92%</c:v>
                </c:pt>
                <c:pt idx="1">
                  <c:v>79%</c:v>
                </c:pt>
                <c:pt idx="2">
                  <c:v>13%</c:v>
                </c:pt>
                <c:pt idx="3">
                  <c:v>13%</c:v>
                </c:pt>
                <c:pt idx="4">
                  <c:v>42%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0%</c:v>
                </c:pt>
                <c:pt idx="15">
                  <c:v>54%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'19'!$AD$6:$AD$28</c:f>
              <c:numCache>
                <c:formatCode>0%</c:formatCode>
                <c:ptCount val="23"/>
                <c:pt idx="0">
                  <c:v>0.91666666666666663</c:v>
                </c:pt>
                <c:pt idx="1">
                  <c:v>0.79166666666666663</c:v>
                </c:pt>
                <c:pt idx="2">
                  <c:v>0.125</c:v>
                </c:pt>
                <c:pt idx="3">
                  <c:v>0.125</c:v>
                </c:pt>
                <c:pt idx="4">
                  <c:v>0.41666666666666669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</c:v>
                </c:pt>
                <c:pt idx="14">
                  <c:v>0</c:v>
                </c:pt>
                <c:pt idx="15">
                  <c:v>0.54166666666666663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0-4AF4-849D-7D220EC2DFB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50-4AF4-849D-7D220EC2DF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ADAPTER</c:v>
                </c:pt>
                <c:pt idx="13">
                  <c:v>TOP/BOTTOM</c:v>
                </c:pt>
                <c:pt idx="14">
                  <c:v>ADAPTER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'19'!$AE$6:$AE$28</c:f>
              <c:numCache>
                <c:formatCode>0%</c:formatCode>
                <c:ptCount val="23"/>
                <c:pt idx="0">
                  <c:v>0.18659420289855075</c:v>
                </c:pt>
                <c:pt idx="1">
                  <c:v>0.18659420289855075</c:v>
                </c:pt>
                <c:pt idx="2">
                  <c:v>0.18659420289855075</c:v>
                </c:pt>
                <c:pt idx="3">
                  <c:v>0.18659420289855075</c:v>
                </c:pt>
                <c:pt idx="4">
                  <c:v>0.18659420289855075</c:v>
                </c:pt>
                <c:pt idx="5">
                  <c:v>0.18659420289855075</c:v>
                </c:pt>
                <c:pt idx="6">
                  <c:v>0.18659420289855075</c:v>
                </c:pt>
                <c:pt idx="7">
                  <c:v>0.18659420289855075</c:v>
                </c:pt>
                <c:pt idx="8">
                  <c:v>0.18659420289855075</c:v>
                </c:pt>
                <c:pt idx="9">
                  <c:v>0.18659420289855075</c:v>
                </c:pt>
                <c:pt idx="10">
                  <c:v>0.18659420289855075</c:v>
                </c:pt>
                <c:pt idx="11">
                  <c:v>0.18659420289855075</c:v>
                </c:pt>
                <c:pt idx="12">
                  <c:v>0.18659420289855075</c:v>
                </c:pt>
                <c:pt idx="13">
                  <c:v>0.18659420289855075</c:v>
                </c:pt>
                <c:pt idx="14">
                  <c:v>0.18659420289855075</c:v>
                </c:pt>
                <c:pt idx="15">
                  <c:v>0.18659420289855075</c:v>
                </c:pt>
                <c:pt idx="16">
                  <c:v>0.18659420289855075</c:v>
                </c:pt>
                <c:pt idx="17">
                  <c:v>0.18659420289855075</c:v>
                </c:pt>
                <c:pt idx="18">
                  <c:v>0.18659420289855075</c:v>
                </c:pt>
                <c:pt idx="19">
                  <c:v>0.18659420289855075</c:v>
                </c:pt>
                <c:pt idx="20">
                  <c:v>0.18659420289855075</c:v>
                </c:pt>
                <c:pt idx="21">
                  <c:v>0.18659420289855075</c:v>
                </c:pt>
                <c:pt idx="22">
                  <c:v>0.18659420289855075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50-4AF4-849D-7D220EC2D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323-4E23-AD36-BBED016688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3-4E23-AD36-BBED01668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323-4E23-AD36-BBED016688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3-4E23-AD36-BBED01668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'20'!$L$6:$L$27</c:f>
              <c:numCache>
                <c:formatCode>_(* #,##0_);_(* \(#,##0\);_(* "-"_);_(@_)</c:formatCode>
                <c:ptCount val="22"/>
                <c:pt idx="0">
                  <c:v>16756</c:v>
                </c:pt>
                <c:pt idx="1">
                  <c:v>1819</c:v>
                </c:pt>
                <c:pt idx="2">
                  <c:v>4641</c:v>
                </c:pt>
                <c:pt idx="3">
                  <c:v>1588</c:v>
                </c:pt>
                <c:pt idx="6">
                  <c:v>1067</c:v>
                </c:pt>
                <c:pt idx="7">
                  <c:v>11936</c:v>
                </c:pt>
                <c:pt idx="10">
                  <c:v>4453</c:v>
                </c:pt>
                <c:pt idx="11">
                  <c:v>4211</c:v>
                </c:pt>
                <c:pt idx="12">
                  <c:v>3151</c:v>
                </c:pt>
                <c:pt idx="14">
                  <c:v>6468</c:v>
                </c:pt>
                <c:pt idx="15">
                  <c:v>39608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C-4083-909A-3FD3939F9C6B}"/>
            </c:ext>
          </c:extLst>
        </c:ser>
        <c:ser>
          <c:idx val="1"/>
          <c:order val="1"/>
          <c:tx>
            <c:v>계획</c:v>
          </c:tx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'20'!$J$6:$J$27</c:f>
              <c:numCache>
                <c:formatCode>_(* #,##0_);_(* \(#,##0\);_(* "-"_);_(@_)</c:formatCode>
                <c:ptCount val="22"/>
                <c:pt idx="0">
                  <c:v>16756</c:v>
                </c:pt>
                <c:pt idx="1">
                  <c:v>1819</c:v>
                </c:pt>
                <c:pt idx="2">
                  <c:v>4641</c:v>
                </c:pt>
                <c:pt idx="3">
                  <c:v>1588</c:v>
                </c:pt>
                <c:pt idx="4">
                  <c:v>300</c:v>
                </c:pt>
                <c:pt idx="5">
                  <c:v>5154</c:v>
                </c:pt>
                <c:pt idx="6">
                  <c:v>1067</c:v>
                </c:pt>
                <c:pt idx="7">
                  <c:v>11936</c:v>
                </c:pt>
                <c:pt idx="8">
                  <c:v>214</c:v>
                </c:pt>
                <c:pt idx="9">
                  <c:v>76</c:v>
                </c:pt>
                <c:pt idx="10">
                  <c:v>4453</c:v>
                </c:pt>
                <c:pt idx="11">
                  <c:v>4211</c:v>
                </c:pt>
                <c:pt idx="12">
                  <c:v>3151</c:v>
                </c:pt>
                <c:pt idx="13">
                  <c:v>2413</c:v>
                </c:pt>
                <c:pt idx="14">
                  <c:v>6468</c:v>
                </c:pt>
                <c:pt idx="15">
                  <c:v>39608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C-4083-909A-3FD3939F9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'20'!$AD$6:$AD$27</c:f>
              <c:strCache>
                <c:ptCount val="22"/>
                <c:pt idx="0">
                  <c:v>83%</c:v>
                </c:pt>
                <c:pt idx="1">
                  <c:v>50%</c:v>
                </c:pt>
                <c:pt idx="2">
                  <c:v>100%</c:v>
                </c:pt>
                <c:pt idx="3">
                  <c:v>33%</c:v>
                </c:pt>
                <c:pt idx="4">
                  <c:v>0%</c:v>
                </c:pt>
                <c:pt idx="5">
                  <c:v>0%</c:v>
                </c:pt>
                <c:pt idx="6">
                  <c:v>25%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100%</c:v>
                </c:pt>
                <c:pt idx="12">
                  <c:v>79%</c:v>
                </c:pt>
                <c:pt idx="13">
                  <c:v>0%</c:v>
                </c:pt>
                <c:pt idx="14">
                  <c:v>50%</c:v>
                </c:pt>
                <c:pt idx="15">
                  <c:v>63%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0.5</c:v>
                </c:pt>
                <c:pt idx="2">
                  <c:v>1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1</c:v>
                </c:pt>
                <c:pt idx="12">
                  <c:v>0.79166666666666663</c:v>
                </c:pt>
                <c:pt idx="13">
                  <c:v>0</c:v>
                </c:pt>
                <c:pt idx="14">
                  <c:v>0.5</c:v>
                </c:pt>
                <c:pt idx="15">
                  <c:v>0.625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4-430B-938C-CA1AD90FC88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24-430B-938C-CA1AD90FC8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'20'!$AE$6:$AE$27</c:f>
              <c:numCache>
                <c:formatCode>0%</c:formatCode>
                <c:ptCount val="22"/>
                <c:pt idx="0">
                  <c:v>0.32765151515151519</c:v>
                </c:pt>
                <c:pt idx="1">
                  <c:v>0.32765151515151519</c:v>
                </c:pt>
                <c:pt idx="2">
                  <c:v>0.32765151515151519</c:v>
                </c:pt>
                <c:pt idx="3">
                  <c:v>0.32765151515151519</c:v>
                </c:pt>
                <c:pt idx="4">
                  <c:v>0.32765151515151519</c:v>
                </c:pt>
                <c:pt idx="5">
                  <c:v>0.32765151515151519</c:v>
                </c:pt>
                <c:pt idx="6">
                  <c:v>0.32765151515151519</c:v>
                </c:pt>
                <c:pt idx="7">
                  <c:v>0.32765151515151519</c:v>
                </c:pt>
                <c:pt idx="8">
                  <c:v>0.32765151515151519</c:v>
                </c:pt>
                <c:pt idx="9">
                  <c:v>0.32765151515151519</c:v>
                </c:pt>
                <c:pt idx="10">
                  <c:v>0.32765151515151519</c:v>
                </c:pt>
                <c:pt idx="11">
                  <c:v>0.32765151515151519</c:v>
                </c:pt>
                <c:pt idx="12">
                  <c:v>0.32765151515151519</c:v>
                </c:pt>
                <c:pt idx="13">
                  <c:v>0.32765151515151519</c:v>
                </c:pt>
                <c:pt idx="14">
                  <c:v>0.32765151515151519</c:v>
                </c:pt>
                <c:pt idx="15">
                  <c:v>0.32765151515151519</c:v>
                </c:pt>
                <c:pt idx="16">
                  <c:v>0.32765151515151519</c:v>
                </c:pt>
                <c:pt idx="17">
                  <c:v>0.32765151515151519</c:v>
                </c:pt>
                <c:pt idx="18">
                  <c:v>0.32765151515151519</c:v>
                </c:pt>
                <c:pt idx="19">
                  <c:v>0.32765151515151519</c:v>
                </c:pt>
                <c:pt idx="20">
                  <c:v>0.32765151515151519</c:v>
                </c:pt>
                <c:pt idx="21">
                  <c:v>0.32765151515151519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4-430B-938C-CA1AD90FC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'20'!$L$6:$L$27</c:f>
              <c:numCache>
                <c:formatCode>_(* #,##0_);_(* \(#,##0\);_(* "-"_);_(@_)</c:formatCode>
                <c:ptCount val="22"/>
                <c:pt idx="0">
                  <c:v>16756</c:v>
                </c:pt>
                <c:pt idx="1">
                  <c:v>1819</c:v>
                </c:pt>
                <c:pt idx="2">
                  <c:v>4641</c:v>
                </c:pt>
                <c:pt idx="3">
                  <c:v>1588</c:v>
                </c:pt>
                <c:pt idx="6">
                  <c:v>1067</c:v>
                </c:pt>
                <c:pt idx="7">
                  <c:v>11936</c:v>
                </c:pt>
                <c:pt idx="10">
                  <c:v>4453</c:v>
                </c:pt>
                <c:pt idx="11">
                  <c:v>4211</c:v>
                </c:pt>
                <c:pt idx="12">
                  <c:v>3151</c:v>
                </c:pt>
                <c:pt idx="14">
                  <c:v>6468</c:v>
                </c:pt>
                <c:pt idx="15">
                  <c:v>39608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8-4FE6-8C1A-5B4CCBBDEBC6}"/>
            </c:ext>
          </c:extLst>
        </c:ser>
        <c:ser>
          <c:idx val="1"/>
          <c:order val="1"/>
          <c:tx>
            <c:v>계획</c:v>
          </c:tx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'20'!$J$6:$J$27</c:f>
              <c:numCache>
                <c:formatCode>_(* #,##0_);_(* \(#,##0\);_(* "-"_);_(@_)</c:formatCode>
                <c:ptCount val="22"/>
                <c:pt idx="0">
                  <c:v>16756</c:v>
                </c:pt>
                <c:pt idx="1">
                  <c:v>1819</c:v>
                </c:pt>
                <c:pt idx="2">
                  <c:v>4641</c:v>
                </c:pt>
                <c:pt idx="3">
                  <c:v>1588</c:v>
                </c:pt>
                <c:pt idx="4">
                  <c:v>300</c:v>
                </c:pt>
                <c:pt idx="5">
                  <c:v>5154</c:v>
                </c:pt>
                <c:pt idx="6">
                  <c:v>1067</c:v>
                </c:pt>
                <c:pt idx="7">
                  <c:v>11936</c:v>
                </c:pt>
                <c:pt idx="8">
                  <c:v>214</c:v>
                </c:pt>
                <c:pt idx="9">
                  <c:v>76</c:v>
                </c:pt>
                <c:pt idx="10">
                  <c:v>4453</c:v>
                </c:pt>
                <c:pt idx="11">
                  <c:v>4211</c:v>
                </c:pt>
                <c:pt idx="12">
                  <c:v>3151</c:v>
                </c:pt>
                <c:pt idx="13">
                  <c:v>2413</c:v>
                </c:pt>
                <c:pt idx="14">
                  <c:v>6468</c:v>
                </c:pt>
                <c:pt idx="15">
                  <c:v>39608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8-4FE6-8C1A-5B4CCBBDE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'20'!$AD$6:$AD$27</c:f>
              <c:strCache>
                <c:ptCount val="22"/>
                <c:pt idx="0">
                  <c:v>83%</c:v>
                </c:pt>
                <c:pt idx="1">
                  <c:v>50%</c:v>
                </c:pt>
                <c:pt idx="2">
                  <c:v>100%</c:v>
                </c:pt>
                <c:pt idx="3">
                  <c:v>33%</c:v>
                </c:pt>
                <c:pt idx="4">
                  <c:v>0%</c:v>
                </c:pt>
                <c:pt idx="5">
                  <c:v>0%</c:v>
                </c:pt>
                <c:pt idx="6">
                  <c:v>25%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100%</c:v>
                </c:pt>
                <c:pt idx="12">
                  <c:v>79%</c:v>
                </c:pt>
                <c:pt idx="13">
                  <c:v>0%</c:v>
                </c:pt>
                <c:pt idx="14">
                  <c:v>50%</c:v>
                </c:pt>
                <c:pt idx="15">
                  <c:v>63%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0.5</c:v>
                </c:pt>
                <c:pt idx="2">
                  <c:v>1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1</c:v>
                </c:pt>
                <c:pt idx="12">
                  <c:v>0.79166666666666663</c:v>
                </c:pt>
                <c:pt idx="13">
                  <c:v>0</c:v>
                </c:pt>
                <c:pt idx="14">
                  <c:v>0.5</c:v>
                </c:pt>
                <c:pt idx="15">
                  <c:v>0.625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8F-476E-A8E9-96DCA7EF9A9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8F-476E-A8E9-96DCA7EF9A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'20'!$D$6:$D$27</c:f>
              <c:strCache>
                <c:ptCount val="21"/>
                <c:pt idx="0">
                  <c:v>ADAPTER</c:v>
                </c:pt>
                <c:pt idx="1">
                  <c:v>F/A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TOP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ADAPTER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'20'!$AE$6:$AE$27</c:f>
              <c:numCache>
                <c:formatCode>0%</c:formatCode>
                <c:ptCount val="22"/>
                <c:pt idx="0">
                  <c:v>0.32765151515151519</c:v>
                </c:pt>
                <c:pt idx="1">
                  <c:v>0.32765151515151519</c:v>
                </c:pt>
                <c:pt idx="2">
                  <c:v>0.32765151515151519</c:v>
                </c:pt>
                <c:pt idx="3">
                  <c:v>0.32765151515151519</c:v>
                </c:pt>
                <c:pt idx="4">
                  <c:v>0.32765151515151519</c:v>
                </c:pt>
                <c:pt idx="5">
                  <c:v>0.32765151515151519</c:v>
                </c:pt>
                <c:pt idx="6">
                  <c:v>0.32765151515151519</c:v>
                </c:pt>
                <c:pt idx="7">
                  <c:v>0.32765151515151519</c:v>
                </c:pt>
                <c:pt idx="8">
                  <c:v>0.32765151515151519</c:v>
                </c:pt>
                <c:pt idx="9">
                  <c:v>0.32765151515151519</c:v>
                </c:pt>
                <c:pt idx="10">
                  <c:v>0.32765151515151519</c:v>
                </c:pt>
                <c:pt idx="11">
                  <c:v>0.32765151515151519</c:v>
                </c:pt>
                <c:pt idx="12">
                  <c:v>0.32765151515151519</c:v>
                </c:pt>
                <c:pt idx="13">
                  <c:v>0.32765151515151519</c:v>
                </c:pt>
                <c:pt idx="14">
                  <c:v>0.32765151515151519</c:v>
                </c:pt>
                <c:pt idx="15">
                  <c:v>0.32765151515151519</c:v>
                </c:pt>
                <c:pt idx="16">
                  <c:v>0.32765151515151519</c:v>
                </c:pt>
                <c:pt idx="17">
                  <c:v>0.32765151515151519</c:v>
                </c:pt>
                <c:pt idx="18">
                  <c:v>0.32765151515151519</c:v>
                </c:pt>
                <c:pt idx="19">
                  <c:v>0.32765151515151519</c:v>
                </c:pt>
                <c:pt idx="20">
                  <c:v>0.32765151515151519</c:v>
                </c:pt>
                <c:pt idx="21">
                  <c:v>0.32765151515151519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8F-476E-A8E9-96DCA7EF9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C96-45C9-85A2-D4AA7E713B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6-45C9-85A2-D4AA7E71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C96-45C9-85A2-D4AA7E713B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96-45C9-85A2-D4AA7E71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'21'!$L$6:$L$27</c:f>
              <c:numCache>
                <c:formatCode>_(* #,##0_);_(* \(#,##0\);_(* "-"_);_(@_)</c:formatCode>
                <c:ptCount val="22"/>
                <c:pt idx="0">
                  <c:v>15208</c:v>
                </c:pt>
                <c:pt idx="1">
                  <c:v>4063</c:v>
                </c:pt>
                <c:pt idx="5">
                  <c:v>7496</c:v>
                </c:pt>
                <c:pt idx="6">
                  <c:v>5056</c:v>
                </c:pt>
                <c:pt idx="7">
                  <c:v>14412</c:v>
                </c:pt>
                <c:pt idx="8">
                  <c:v>560</c:v>
                </c:pt>
                <c:pt idx="10">
                  <c:v>4449</c:v>
                </c:pt>
                <c:pt idx="12">
                  <c:v>5708</c:v>
                </c:pt>
                <c:pt idx="13">
                  <c:v>3170</c:v>
                </c:pt>
                <c:pt idx="14">
                  <c:v>20028</c:v>
                </c:pt>
                <c:pt idx="15">
                  <c:v>36320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2-4C98-A370-0089C7284607}"/>
            </c:ext>
          </c:extLst>
        </c:ser>
        <c:ser>
          <c:idx val="1"/>
          <c:order val="1"/>
          <c:tx>
            <c:v>계획</c:v>
          </c:tx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'21'!$J$6:$J$27</c:f>
              <c:numCache>
                <c:formatCode>_(* #,##0_);_(* \(#,##0\);_(* "-"_);_(@_)</c:formatCode>
                <c:ptCount val="22"/>
                <c:pt idx="0">
                  <c:v>15208</c:v>
                </c:pt>
                <c:pt idx="1">
                  <c:v>4063</c:v>
                </c:pt>
                <c:pt idx="2">
                  <c:v>4641</c:v>
                </c:pt>
                <c:pt idx="3">
                  <c:v>1588</c:v>
                </c:pt>
                <c:pt idx="4">
                  <c:v>300</c:v>
                </c:pt>
                <c:pt idx="5">
                  <c:v>7496</c:v>
                </c:pt>
                <c:pt idx="6">
                  <c:v>5056</c:v>
                </c:pt>
                <c:pt idx="7">
                  <c:v>14412</c:v>
                </c:pt>
                <c:pt idx="8">
                  <c:v>560</c:v>
                </c:pt>
                <c:pt idx="9">
                  <c:v>76</c:v>
                </c:pt>
                <c:pt idx="10">
                  <c:v>4449</c:v>
                </c:pt>
                <c:pt idx="11">
                  <c:v>4211</c:v>
                </c:pt>
                <c:pt idx="12">
                  <c:v>5708</c:v>
                </c:pt>
                <c:pt idx="13">
                  <c:v>3170</c:v>
                </c:pt>
                <c:pt idx="14">
                  <c:v>20028</c:v>
                </c:pt>
                <c:pt idx="15">
                  <c:v>36320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2-4C98-A370-0089C7284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'21'!$AD$6:$AD$27</c:f>
              <c:strCache>
                <c:ptCount val="22"/>
                <c:pt idx="0">
                  <c:v>75%</c:v>
                </c:pt>
                <c:pt idx="1">
                  <c:v>88%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75%</c:v>
                </c:pt>
                <c:pt idx="6">
                  <c:v>100%</c:v>
                </c:pt>
                <c:pt idx="7">
                  <c:v>71%</c:v>
                </c:pt>
                <c:pt idx="8">
                  <c:v>29%</c:v>
                </c:pt>
                <c:pt idx="9">
                  <c:v>0%</c:v>
                </c:pt>
                <c:pt idx="10">
                  <c:v>63%</c:v>
                </c:pt>
                <c:pt idx="11">
                  <c:v>0%</c:v>
                </c:pt>
                <c:pt idx="12">
                  <c:v>100%</c:v>
                </c:pt>
                <c:pt idx="13">
                  <c:v>75%</c:v>
                </c:pt>
                <c:pt idx="14">
                  <c:v>92%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'21'!$AD$6:$AD$27</c:f>
              <c:numCache>
                <c:formatCode>0%</c:formatCode>
                <c:ptCount val="22"/>
                <c:pt idx="0">
                  <c:v>0.75</c:v>
                </c:pt>
                <c:pt idx="1">
                  <c:v>0.875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0.75</c:v>
                </c:pt>
                <c:pt idx="6">
                  <c:v>1</c:v>
                </c:pt>
                <c:pt idx="7">
                  <c:v>0.70833333333333337</c:v>
                </c:pt>
                <c:pt idx="8">
                  <c:v>0.29166666666666669</c:v>
                </c:pt>
                <c:pt idx="9">
                  <c:v>0</c:v>
                </c:pt>
                <c:pt idx="10">
                  <c:v>0.625</c:v>
                </c:pt>
                <c:pt idx="11">
                  <c:v>0</c:v>
                </c:pt>
                <c:pt idx="12">
                  <c:v>1</c:v>
                </c:pt>
                <c:pt idx="13">
                  <c:v>0.75</c:v>
                </c:pt>
                <c:pt idx="14">
                  <c:v>0.91666666666666663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4-4DF8-8048-F19B88CB11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D4-4DF8-8048-F19B88CB11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'21'!$AE$6:$AE$27</c:f>
              <c:numCache>
                <c:formatCode>0%</c:formatCode>
                <c:ptCount val="22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  <c:pt idx="15">
                  <c:v>0.375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D4-4DF8-8048-F19B88CB1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'21'!$L$6:$L$27</c:f>
              <c:numCache>
                <c:formatCode>_(* #,##0_);_(* \(#,##0\);_(* "-"_);_(@_)</c:formatCode>
                <c:ptCount val="22"/>
                <c:pt idx="0">
                  <c:v>15208</c:v>
                </c:pt>
                <c:pt idx="1">
                  <c:v>4063</c:v>
                </c:pt>
                <c:pt idx="5">
                  <c:v>7496</c:v>
                </c:pt>
                <c:pt idx="6">
                  <c:v>5056</c:v>
                </c:pt>
                <c:pt idx="7">
                  <c:v>14412</c:v>
                </c:pt>
                <c:pt idx="8">
                  <c:v>560</c:v>
                </c:pt>
                <c:pt idx="10">
                  <c:v>4449</c:v>
                </c:pt>
                <c:pt idx="12">
                  <c:v>5708</c:v>
                </c:pt>
                <c:pt idx="13">
                  <c:v>3170</c:v>
                </c:pt>
                <c:pt idx="14">
                  <c:v>20028</c:v>
                </c:pt>
                <c:pt idx="15">
                  <c:v>36320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BE-40C6-BFAA-75553714570E}"/>
            </c:ext>
          </c:extLst>
        </c:ser>
        <c:ser>
          <c:idx val="1"/>
          <c:order val="1"/>
          <c:tx>
            <c:v>계획</c:v>
          </c:tx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'21'!$J$6:$J$27</c:f>
              <c:numCache>
                <c:formatCode>_(* #,##0_);_(* \(#,##0\);_(* "-"_);_(@_)</c:formatCode>
                <c:ptCount val="22"/>
                <c:pt idx="0">
                  <c:v>15208</c:v>
                </c:pt>
                <c:pt idx="1">
                  <c:v>4063</c:v>
                </c:pt>
                <c:pt idx="2">
                  <c:v>4641</c:v>
                </c:pt>
                <c:pt idx="3">
                  <c:v>1588</c:v>
                </c:pt>
                <c:pt idx="4">
                  <c:v>300</c:v>
                </c:pt>
                <c:pt idx="5">
                  <c:v>7496</c:v>
                </c:pt>
                <c:pt idx="6">
                  <c:v>5056</c:v>
                </c:pt>
                <c:pt idx="7">
                  <c:v>14412</c:v>
                </c:pt>
                <c:pt idx="8">
                  <c:v>560</c:v>
                </c:pt>
                <c:pt idx="9">
                  <c:v>76</c:v>
                </c:pt>
                <c:pt idx="10">
                  <c:v>4449</c:v>
                </c:pt>
                <c:pt idx="11">
                  <c:v>4211</c:v>
                </c:pt>
                <c:pt idx="12">
                  <c:v>5708</c:v>
                </c:pt>
                <c:pt idx="13">
                  <c:v>3170</c:v>
                </c:pt>
                <c:pt idx="14">
                  <c:v>20028</c:v>
                </c:pt>
                <c:pt idx="15">
                  <c:v>36320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E-40C6-BFAA-755537145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'21'!$AD$6:$AD$27</c:f>
              <c:strCache>
                <c:ptCount val="22"/>
                <c:pt idx="0">
                  <c:v>75%</c:v>
                </c:pt>
                <c:pt idx="1">
                  <c:v>88%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75%</c:v>
                </c:pt>
                <c:pt idx="6">
                  <c:v>100%</c:v>
                </c:pt>
                <c:pt idx="7">
                  <c:v>71%</c:v>
                </c:pt>
                <c:pt idx="8">
                  <c:v>29%</c:v>
                </c:pt>
                <c:pt idx="9">
                  <c:v>0%</c:v>
                </c:pt>
                <c:pt idx="10">
                  <c:v>63%</c:v>
                </c:pt>
                <c:pt idx="11">
                  <c:v>0%</c:v>
                </c:pt>
                <c:pt idx="12">
                  <c:v>100%</c:v>
                </c:pt>
                <c:pt idx="13">
                  <c:v>75%</c:v>
                </c:pt>
                <c:pt idx="14">
                  <c:v>92%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'21'!$AD$6:$AD$27</c:f>
              <c:numCache>
                <c:formatCode>0%</c:formatCode>
                <c:ptCount val="22"/>
                <c:pt idx="0">
                  <c:v>0.75</c:v>
                </c:pt>
                <c:pt idx="1">
                  <c:v>0.875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0.75</c:v>
                </c:pt>
                <c:pt idx="6">
                  <c:v>1</c:v>
                </c:pt>
                <c:pt idx="7">
                  <c:v>0.70833333333333337</c:v>
                </c:pt>
                <c:pt idx="8">
                  <c:v>0.29166666666666669</c:v>
                </c:pt>
                <c:pt idx="9">
                  <c:v>0</c:v>
                </c:pt>
                <c:pt idx="10">
                  <c:v>0.625</c:v>
                </c:pt>
                <c:pt idx="11">
                  <c:v>0</c:v>
                </c:pt>
                <c:pt idx="12">
                  <c:v>1</c:v>
                </c:pt>
                <c:pt idx="13">
                  <c:v>0.75</c:v>
                </c:pt>
                <c:pt idx="14">
                  <c:v>0.91666666666666663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E-4596-ACB9-A7EB8F16C1D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9E-4596-ACB9-A7EB8F16C1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'21'!$AE$6:$AE$27</c:f>
              <c:numCache>
                <c:formatCode>0%</c:formatCode>
                <c:ptCount val="22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  <c:pt idx="15">
                  <c:v>0.375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E-4596-ACB9-A7EB8F16C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D88-4DAB-9689-1DB04887D3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8-4DAB-9689-1DB04887D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D88-4DAB-9689-1DB04887D36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88-4DAB-9689-1DB04887D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'22'!$L$6:$L$28</c:f>
              <c:numCache>
                <c:formatCode>_(* #,##0_);_(* \(#,##0\);_(* "-"_);_(@_)</c:formatCode>
                <c:ptCount val="23"/>
                <c:pt idx="0">
                  <c:v>17656</c:v>
                </c:pt>
                <c:pt idx="1">
                  <c:v>5985</c:v>
                </c:pt>
                <c:pt idx="2">
                  <c:v>100</c:v>
                </c:pt>
                <c:pt idx="3">
                  <c:v>100</c:v>
                </c:pt>
                <c:pt idx="4">
                  <c:v>5056</c:v>
                </c:pt>
                <c:pt idx="6">
                  <c:v>7306</c:v>
                </c:pt>
                <c:pt idx="7">
                  <c:v>5299</c:v>
                </c:pt>
                <c:pt idx="8">
                  <c:v>25896</c:v>
                </c:pt>
                <c:pt idx="11">
                  <c:v>305888</c:v>
                </c:pt>
                <c:pt idx="13">
                  <c:v>3684</c:v>
                </c:pt>
                <c:pt idx="14">
                  <c:v>3177</c:v>
                </c:pt>
                <c:pt idx="15">
                  <c:v>25064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C-448C-BE56-7684A6F9678F}"/>
            </c:ext>
          </c:extLst>
        </c:ser>
        <c:ser>
          <c:idx val="1"/>
          <c:order val="1"/>
          <c:tx>
            <c:v>계획</c:v>
          </c:tx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'22'!$J$6:$J$28</c:f>
              <c:numCache>
                <c:formatCode>_(* #,##0_);_(* \(#,##0\);_(* "-"_);_(@_)</c:formatCode>
                <c:ptCount val="23"/>
                <c:pt idx="0">
                  <c:v>17656</c:v>
                </c:pt>
                <c:pt idx="1">
                  <c:v>5985</c:v>
                </c:pt>
                <c:pt idx="2">
                  <c:v>100</c:v>
                </c:pt>
                <c:pt idx="3">
                  <c:v>100</c:v>
                </c:pt>
                <c:pt idx="4">
                  <c:v>5056</c:v>
                </c:pt>
                <c:pt idx="5">
                  <c:v>300</c:v>
                </c:pt>
                <c:pt idx="6">
                  <c:v>7306</c:v>
                </c:pt>
                <c:pt idx="7">
                  <c:v>5299</c:v>
                </c:pt>
                <c:pt idx="8">
                  <c:v>25896</c:v>
                </c:pt>
                <c:pt idx="9">
                  <c:v>560</c:v>
                </c:pt>
                <c:pt idx="10">
                  <c:v>76</c:v>
                </c:pt>
                <c:pt idx="11">
                  <c:v>305888</c:v>
                </c:pt>
                <c:pt idx="12">
                  <c:v>4211</c:v>
                </c:pt>
                <c:pt idx="13">
                  <c:v>3684</c:v>
                </c:pt>
                <c:pt idx="14">
                  <c:v>3177</c:v>
                </c:pt>
                <c:pt idx="15">
                  <c:v>25064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C-448C-BE56-7684A6F96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'22'!$AD$6:$AD$28</c:f>
              <c:strCache>
                <c:ptCount val="23"/>
                <c:pt idx="0">
                  <c:v>83%</c:v>
                </c:pt>
                <c:pt idx="1">
                  <c:v>100%</c:v>
                </c:pt>
                <c:pt idx="2">
                  <c:v>13%</c:v>
                </c:pt>
                <c:pt idx="3">
                  <c:v>13%</c:v>
                </c:pt>
                <c:pt idx="4">
                  <c:v>67%</c:v>
                </c:pt>
                <c:pt idx="5">
                  <c:v>0%</c:v>
                </c:pt>
                <c:pt idx="6">
                  <c:v>71%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46%</c:v>
                </c:pt>
                <c:pt idx="14">
                  <c:v>75%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'22'!$AD$6:$AD$28</c:f>
              <c:numCache>
                <c:formatCode>0%</c:formatCode>
                <c:ptCount val="23"/>
                <c:pt idx="0">
                  <c:v>0.83333333333333337</c:v>
                </c:pt>
                <c:pt idx="1">
                  <c:v>1</c:v>
                </c:pt>
                <c:pt idx="2">
                  <c:v>0.125</c:v>
                </c:pt>
                <c:pt idx="3">
                  <c:v>0.125</c:v>
                </c:pt>
                <c:pt idx="4">
                  <c:v>0.66666666666666663</c:v>
                </c:pt>
                <c:pt idx="5">
                  <c:v>0</c:v>
                </c:pt>
                <c:pt idx="6">
                  <c:v>0.70833333333333337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0.45833333333333331</c:v>
                </c:pt>
                <c:pt idx="14">
                  <c:v>0.75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F-4E17-BAE4-1F2A0B525F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9F-4E17-BAE4-1F2A0B525F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'22'!$AE$6:$AE$28</c:f>
              <c:numCache>
                <c:formatCode>0%</c:formatCode>
                <c:ptCount val="23"/>
                <c:pt idx="0">
                  <c:v>0.36594202898550721</c:v>
                </c:pt>
                <c:pt idx="1">
                  <c:v>0.36594202898550721</c:v>
                </c:pt>
                <c:pt idx="2">
                  <c:v>0.36594202898550721</c:v>
                </c:pt>
                <c:pt idx="3">
                  <c:v>0.36594202898550721</c:v>
                </c:pt>
                <c:pt idx="4">
                  <c:v>0.36594202898550721</c:v>
                </c:pt>
                <c:pt idx="5">
                  <c:v>0.36594202898550721</c:v>
                </c:pt>
                <c:pt idx="6">
                  <c:v>0.36594202898550721</c:v>
                </c:pt>
                <c:pt idx="7">
                  <c:v>0.36594202898550721</c:v>
                </c:pt>
                <c:pt idx="8">
                  <c:v>0.36594202898550721</c:v>
                </c:pt>
                <c:pt idx="9">
                  <c:v>0.36594202898550721</c:v>
                </c:pt>
                <c:pt idx="10">
                  <c:v>0.36594202898550721</c:v>
                </c:pt>
                <c:pt idx="11">
                  <c:v>0.36594202898550721</c:v>
                </c:pt>
                <c:pt idx="12">
                  <c:v>0.36594202898550721</c:v>
                </c:pt>
                <c:pt idx="13">
                  <c:v>0.36594202898550721</c:v>
                </c:pt>
                <c:pt idx="14">
                  <c:v>0.36594202898550721</c:v>
                </c:pt>
                <c:pt idx="15">
                  <c:v>0.36594202898550721</c:v>
                </c:pt>
                <c:pt idx="16">
                  <c:v>0.36594202898550721</c:v>
                </c:pt>
                <c:pt idx="17">
                  <c:v>0.36594202898550721</c:v>
                </c:pt>
                <c:pt idx="18">
                  <c:v>0.36594202898550721</c:v>
                </c:pt>
                <c:pt idx="19">
                  <c:v>0.36594202898550721</c:v>
                </c:pt>
                <c:pt idx="20">
                  <c:v>0.36594202898550721</c:v>
                </c:pt>
                <c:pt idx="21">
                  <c:v>0.36594202898550721</c:v>
                </c:pt>
                <c:pt idx="22">
                  <c:v>0.36594202898550721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F-4E17-BAE4-1F2A0B52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'22'!$L$6:$L$28</c:f>
              <c:numCache>
                <c:formatCode>_(* #,##0_);_(* \(#,##0\);_(* "-"_);_(@_)</c:formatCode>
                <c:ptCount val="23"/>
                <c:pt idx="0">
                  <c:v>17656</c:v>
                </c:pt>
                <c:pt idx="1">
                  <c:v>5985</c:v>
                </c:pt>
                <c:pt idx="2">
                  <c:v>100</c:v>
                </c:pt>
                <c:pt idx="3">
                  <c:v>100</c:v>
                </c:pt>
                <c:pt idx="4">
                  <c:v>5056</c:v>
                </c:pt>
                <c:pt idx="6">
                  <c:v>7306</c:v>
                </c:pt>
                <c:pt idx="7">
                  <c:v>5299</c:v>
                </c:pt>
                <c:pt idx="8">
                  <c:v>25896</c:v>
                </c:pt>
                <c:pt idx="11">
                  <c:v>305888</c:v>
                </c:pt>
                <c:pt idx="13">
                  <c:v>3684</c:v>
                </c:pt>
                <c:pt idx="14">
                  <c:v>3177</c:v>
                </c:pt>
                <c:pt idx="15">
                  <c:v>25064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0-4258-9D43-0EFD36451ACA}"/>
            </c:ext>
          </c:extLst>
        </c:ser>
        <c:ser>
          <c:idx val="1"/>
          <c:order val="1"/>
          <c:tx>
            <c:v>계획</c:v>
          </c:tx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'22'!$J$6:$J$28</c:f>
              <c:numCache>
                <c:formatCode>_(* #,##0_);_(* \(#,##0\);_(* "-"_);_(@_)</c:formatCode>
                <c:ptCount val="23"/>
                <c:pt idx="0">
                  <c:v>17656</c:v>
                </c:pt>
                <c:pt idx="1">
                  <c:v>5985</c:v>
                </c:pt>
                <c:pt idx="2">
                  <c:v>100</c:v>
                </c:pt>
                <c:pt idx="3">
                  <c:v>100</c:v>
                </c:pt>
                <c:pt idx="4">
                  <c:v>5056</c:v>
                </c:pt>
                <c:pt idx="5">
                  <c:v>300</c:v>
                </c:pt>
                <c:pt idx="6">
                  <c:v>7306</c:v>
                </c:pt>
                <c:pt idx="7">
                  <c:v>5299</c:v>
                </c:pt>
                <c:pt idx="8">
                  <c:v>25896</c:v>
                </c:pt>
                <c:pt idx="9">
                  <c:v>560</c:v>
                </c:pt>
                <c:pt idx="10">
                  <c:v>76</c:v>
                </c:pt>
                <c:pt idx="11">
                  <c:v>305888</c:v>
                </c:pt>
                <c:pt idx="12">
                  <c:v>4211</c:v>
                </c:pt>
                <c:pt idx="13">
                  <c:v>3684</c:v>
                </c:pt>
                <c:pt idx="14">
                  <c:v>3177</c:v>
                </c:pt>
                <c:pt idx="15">
                  <c:v>25064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0-4258-9D43-0EFD36451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'22'!$AD$6:$AD$28</c:f>
              <c:strCache>
                <c:ptCount val="23"/>
                <c:pt idx="0">
                  <c:v>83%</c:v>
                </c:pt>
                <c:pt idx="1">
                  <c:v>100%</c:v>
                </c:pt>
                <c:pt idx="2">
                  <c:v>13%</c:v>
                </c:pt>
                <c:pt idx="3">
                  <c:v>13%</c:v>
                </c:pt>
                <c:pt idx="4">
                  <c:v>67%</c:v>
                </c:pt>
                <c:pt idx="5">
                  <c:v>0%</c:v>
                </c:pt>
                <c:pt idx="6">
                  <c:v>71%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46%</c:v>
                </c:pt>
                <c:pt idx="14">
                  <c:v>75%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'22'!$AD$6:$AD$28</c:f>
              <c:numCache>
                <c:formatCode>0%</c:formatCode>
                <c:ptCount val="23"/>
                <c:pt idx="0">
                  <c:v>0.83333333333333337</c:v>
                </c:pt>
                <c:pt idx="1">
                  <c:v>1</c:v>
                </c:pt>
                <c:pt idx="2">
                  <c:v>0.125</c:v>
                </c:pt>
                <c:pt idx="3">
                  <c:v>0.125</c:v>
                </c:pt>
                <c:pt idx="4">
                  <c:v>0.66666666666666663</c:v>
                </c:pt>
                <c:pt idx="5">
                  <c:v>0</c:v>
                </c:pt>
                <c:pt idx="6">
                  <c:v>0.70833333333333337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0.45833333333333331</c:v>
                </c:pt>
                <c:pt idx="14">
                  <c:v>0.75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D-4041-AD03-A8018F9205D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ED-4041-AD03-A8018F9205D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'22'!$AE$6:$AE$28</c:f>
              <c:numCache>
                <c:formatCode>0%</c:formatCode>
                <c:ptCount val="23"/>
                <c:pt idx="0">
                  <c:v>0.36594202898550721</c:v>
                </c:pt>
                <c:pt idx="1">
                  <c:v>0.36594202898550721</c:v>
                </c:pt>
                <c:pt idx="2">
                  <c:v>0.36594202898550721</c:v>
                </c:pt>
                <c:pt idx="3">
                  <c:v>0.36594202898550721</c:v>
                </c:pt>
                <c:pt idx="4">
                  <c:v>0.36594202898550721</c:v>
                </c:pt>
                <c:pt idx="5">
                  <c:v>0.36594202898550721</c:v>
                </c:pt>
                <c:pt idx="6">
                  <c:v>0.36594202898550721</c:v>
                </c:pt>
                <c:pt idx="7">
                  <c:v>0.36594202898550721</c:v>
                </c:pt>
                <c:pt idx="8">
                  <c:v>0.36594202898550721</c:v>
                </c:pt>
                <c:pt idx="9">
                  <c:v>0.36594202898550721</c:v>
                </c:pt>
                <c:pt idx="10">
                  <c:v>0.36594202898550721</c:v>
                </c:pt>
                <c:pt idx="11">
                  <c:v>0.36594202898550721</c:v>
                </c:pt>
                <c:pt idx="12">
                  <c:v>0.36594202898550721</c:v>
                </c:pt>
                <c:pt idx="13">
                  <c:v>0.36594202898550721</c:v>
                </c:pt>
                <c:pt idx="14">
                  <c:v>0.36594202898550721</c:v>
                </c:pt>
                <c:pt idx="15">
                  <c:v>0.36594202898550721</c:v>
                </c:pt>
                <c:pt idx="16">
                  <c:v>0.36594202898550721</c:v>
                </c:pt>
                <c:pt idx="17">
                  <c:v>0.36594202898550721</c:v>
                </c:pt>
                <c:pt idx="18">
                  <c:v>0.36594202898550721</c:v>
                </c:pt>
                <c:pt idx="19">
                  <c:v>0.36594202898550721</c:v>
                </c:pt>
                <c:pt idx="20">
                  <c:v>0.36594202898550721</c:v>
                </c:pt>
                <c:pt idx="21">
                  <c:v>0.36594202898550721</c:v>
                </c:pt>
                <c:pt idx="22">
                  <c:v>0.36594202898550721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ED-4041-AD03-A8018F920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3C3-4448-A139-0181F5EAA3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C3-4448-A139-0181F5EAA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3C3-4448-A139-0181F5EAA3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C3-4448-A139-0181F5EAA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'23'!$L$6:$L$28</c:f>
              <c:numCache>
                <c:formatCode>_(* #,##0_);_(* \(#,##0\);_(* "-"_);_(@_)</c:formatCode>
                <c:ptCount val="23"/>
                <c:pt idx="0">
                  <c:v>23892</c:v>
                </c:pt>
                <c:pt idx="1">
                  <c:v>761</c:v>
                </c:pt>
                <c:pt idx="2">
                  <c:v>5003</c:v>
                </c:pt>
                <c:pt idx="7">
                  <c:v>5142</c:v>
                </c:pt>
                <c:pt idx="8">
                  <c:v>26056</c:v>
                </c:pt>
                <c:pt idx="11">
                  <c:v>365184</c:v>
                </c:pt>
                <c:pt idx="13">
                  <c:v>4166</c:v>
                </c:pt>
                <c:pt idx="14">
                  <c:v>1793</c:v>
                </c:pt>
                <c:pt idx="15">
                  <c:v>24256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0-4497-B2E5-A23A92776586}"/>
            </c:ext>
          </c:extLst>
        </c:ser>
        <c:ser>
          <c:idx val="1"/>
          <c:order val="1"/>
          <c:tx>
            <c:v>계획</c:v>
          </c:tx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'23'!$J$6:$J$28</c:f>
              <c:numCache>
                <c:formatCode>_(* #,##0_);_(* \(#,##0\);_(* "-"_);_(@_)</c:formatCode>
                <c:ptCount val="23"/>
                <c:pt idx="0">
                  <c:v>23892</c:v>
                </c:pt>
                <c:pt idx="1">
                  <c:v>761</c:v>
                </c:pt>
                <c:pt idx="2">
                  <c:v>5003</c:v>
                </c:pt>
                <c:pt idx="3">
                  <c:v>100</c:v>
                </c:pt>
                <c:pt idx="4">
                  <c:v>5056</c:v>
                </c:pt>
                <c:pt idx="5">
                  <c:v>300</c:v>
                </c:pt>
                <c:pt idx="6">
                  <c:v>7306</c:v>
                </c:pt>
                <c:pt idx="7">
                  <c:v>5142</c:v>
                </c:pt>
                <c:pt idx="8">
                  <c:v>26056</c:v>
                </c:pt>
                <c:pt idx="9">
                  <c:v>560</c:v>
                </c:pt>
                <c:pt idx="10">
                  <c:v>76</c:v>
                </c:pt>
                <c:pt idx="11">
                  <c:v>365184</c:v>
                </c:pt>
                <c:pt idx="12">
                  <c:v>4211</c:v>
                </c:pt>
                <c:pt idx="13">
                  <c:v>4166</c:v>
                </c:pt>
                <c:pt idx="14">
                  <c:v>1793</c:v>
                </c:pt>
                <c:pt idx="15">
                  <c:v>24256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0-4497-B2E5-A23A92776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'23'!$AD$6:$AD$28</c:f>
              <c:strCache>
                <c:ptCount val="23"/>
                <c:pt idx="0">
                  <c:v>100%</c:v>
                </c:pt>
                <c:pt idx="1">
                  <c:v>13%</c:v>
                </c:pt>
                <c:pt idx="2">
                  <c:v>83%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42%</c:v>
                </c:pt>
                <c:pt idx="14">
                  <c:v>42%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'23'!$AD$6:$AD$28</c:f>
              <c:numCache>
                <c:formatCode>0%</c:formatCode>
                <c:ptCount val="23"/>
                <c:pt idx="0">
                  <c:v>1</c:v>
                </c:pt>
                <c:pt idx="1">
                  <c:v>0.125</c:v>
                </c:pt>
                <c:pt idx="2">
                  <c:v>0.83333333333333337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0.41666666666666669</c:v>
                </c:pt>
                <c:pt idx="14">
                  <c:v>0.41666666666666669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9-40D9-BFBC-B7B5705148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39-40D9-BFBC-B7B5705148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'23'!$AE$6:$AE$28</c:f>
              <c:numCache>
                <c:formatCode>0%</c:formatCode>
                <c:ptCount val="23"/>
                <c:pt idx="0">
                  <c:v>0.2952898550724638</c:v>
                </c:pt>
                <c:pt idx="1">
                  <c:v>0.2952898550724638</c:v>
                </c:pt>
                <c:pt idx="2">
                  <c:v>0.2952898550724638</c:v>
                </c:pt>
                <c:pt idx="3">
                  <c:v>0.2952898550724638</c:v>
                </c:pt>
                <c:pt idx="4">
                  <c:v>0.2952898550724638</c:v>
                </c:pt>
                <c:pt idx="5">
                  <c:v>0.2952898550724638</c:v>
                </c:pt>
                <c:pt idx="6">
                  <c:v>0.2952898550724638</c:v>
                </c:pt>
                <c:pt idx="7">
                  <c:v>0.2952898550724638</c:v>
                </c:pt>
                <c:pt idx="8">
                  <c:v>0.2952898550724638</c:v>
                </c:pt>
                <c:pt idx="9">
                  <c:v>0.2952898550724638</c:v>
                </c:pt>
                <c:pt idx="10">
                  <c:v>0.2952898550724638</c:v>
                </c:pt>
                <c:pt idx="11">
                  <c:v>0.2952898550724638</c:v>
                </c:pt>
                <c:pt idx="12">
                  <c:v>0.2952898550724638</c:v>
                </c:pt>
                <c:pt idx="13">
                  <c:v>0.2952898550724638</c:v>
                </c:pt>
                <c:pt idx="14">
                  <c:v>0.2952898550724638</c:v>
                </c:pt>
                <c:pt idx="15">
                  <c:v>0.2952898550724638</c:v>
                </c:pt>
                <c:pt idx="16">
                  <c:v>0.2952898550724638</c:v>
                </c:pt>
                <c:pt idx="17">
                  <c:v>0.2952898550724638</c:v>
                </c:pt>
                <c:pt idx="18">
                  <c:v>0.2952898550724638</c:v>
                </c:pt>
                <c:pt idx="19">
                  <c:v>0.2952898550724638</c:v>
                </c:pt>
                <c:pt idx="20">
                  <c:v>0.2952898550724638</c:v>
                </c:pt>
                <c:pt idx="21">
                  <c:v>0.2952898550724638</c:v>
                </c:pt>
                <c:pt idx="22">
                  <c:v>0.2952898550724638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39-40D9-BFBC-B7B57051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'23'!$L$6:$L$28</c:f>
              <c:numCache>
                <c:formatCode>_(* #,##0_);_(* \(#,##0\);_(* "-"_);_(@_)</c:formatCode>
                <c:ptCount val="23"/>
                <c:pt idx="0">
                  <c:v>23892</c:v>
                </c:pt>
                <c:pt idx="1">
                  <c:v>761</c:v>
                </c:pt>
                <c:pt idx="2">
                  <c:v>5003</c:v>
                </c:pt>
                <c:pt idx="7">
                  <c:v>5142</c:v>
                </c:pt>
                <c:pt idx="8">
                  <c:v>26056</c:v>
                </c:pt>
                <c:pt idx="11">
                  <c:v>365184</c:v>
                </c:pt>
                <c:pt idx="13">
                  <c:v>4166</c:v>
                </c:pt>
                <c:pt idx="14">
                  <c:v>1793</c:v>
                </c:pt>
                <c:pt idx="15">
                  <c:v>24256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8-4023-BCAF-1C5A99F0EBCD}"/>
            </c:ext>
          </c:extLst>
        </c:ser>
        <c:ser>
          <c:idx val="1"/>
          <c:order val="1"/>
          <c:tx>
            <c:v>계획</c:v>
          </c:tx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'23'!$J$6:$J$28</c:f>
              <c:numCache>
                <c:formatCode>_(* #,##0_);_(* \(#,##0\);_(* "-"_);_(@_)</c:formatCode>
                <c:ptCount val="23"/>
                <c:pt idx="0">
                  <c:v>23892</c:v>
                </c:pt>
                <c:pt idx="1">
                  <c:v>761</c:v>
                </c:pt>
                <c:pt idx="2">
                  <c:v>5003</c:v>
                </c:pt>
                <c:pt idx="3">
                  <c:v>100</c:v>
                </c:pt>
                <c:pt idx="4">
                  <c:v>5056</c:v>
                </c:pt>
                <c:pt idx="5">
                  <c:v>300</c:v>
                </c:pt>
                <c:pt idx="6">
                  <c:v>7306</c:v>
                </c:pt>
                <c:pt idx="7">
                  <c:v>5142</c:v>
                </c:pt>
                <c:pt idx="8">
                  <c:v>26056</c:v>
                </c:pt>
                <c:pt idx="9">
                  <c:v>560</c:v>
                </c:pt>
                <c:pt idx="10">
                  <c:v>76</c:v>
                </c:pt>
                <c:pt idx="11">
                  <c:v>365184</c:v>
                </c:pt>
                <c:pt idx="12">
                  <c:v>4211</c:v>
                </c:pt>
                <c:pt idx="13">
                  <c:v>4166</c:v>
                </c:pt>
                <c:pt idx="14">
                  <c:v>1793</c:v>
                </c:pt>
                <c:pt idx="15">
                  <c:v>24256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8-4023-BCAF-1C5A99F0E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'23'!$AD$6:$AD$28</c:f>
              <c:strCache>
                <c:ptCount val="23"/>
                <c:pt idx="0">
                  <c:v>100%</c:v>
                </c:pt>
                <c:pt idx="1">
                  <c:v>13%</c:v>
                </c:pt>
                <c:pt idx="2">
                  <c:v>83%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42%</c:v>
                </c:pt>
                <c:pt idx="14">
                  <c:v>42%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'23'!$AD$6:$AD$28</c:f>
              <c:numCache>
                <c:formatCode>0%</c:formatCode>
                <c:ptCount val="23"/>
                <c:pt idx="0">
                  <c:v>1</c:v>
                </c:pt>
                <c:pt idx="1">
                  <c:v>0.125</c:v>
                </c:pt>
                <c:pt idx="2">
                  <c:v>0.83333333333333337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0.41666666666666669</c:v>
                </c:pt>
                <c:pt idx="14">
                  <c:v>0.41666666666666669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D-4985-B69E-5E535B9512B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BD-4985-B69E-5E535B9512B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'23'!$D$6:$D$28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ADAPTER</c:v>
                </c:pt>
                <c:pt idx="3">
                  <c:v>BASE</c:v>
                </c:pt>
                <c:pt idx="4">
                  <c:v>STOPPER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ACTUATOR</c:v>
                </c:pt>
                <c:pt idx="14">
                  <c:v>STOPPER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'23'!$AE$6:$AE$28</c:f>
              <c:numCache>
                <c:formatCode>0%</c:formatCode>
                <c:ptCount val="23"/>
                <c:pt idx="0">
                  <c:v>0.2952898550724638</c:v>
                </c:pt>
                <c:pt idx="1">
                  <c:v>0.2952898550724638</c:v>
                </c:pt>
                <c:pt idx="2">
                  <c:v>0.2952898550724638</c:v>
                </c:pt>
                <c:pt idx="3">
                  <c:v>0.2952898550724638</c:v>
                </c:pt>
                <c:pt idx="4">
                  <c:v>0.2952898550724638</c:v>
                </c:pt>
                <c:pt idx="5">
                  <c:v>0.2952898550724638</c:v>
                </c:pt>
                <c:pt idx="6">
                  <c:v>0.2952898550724638</c:v>
                </c:pt>
                <c:pt idx="7">
                  <c:v>0.2952898550724638</c:v>
                </c:pt>
                <c:pt idx="8">
                  <c:v>0.2952898550724638</c:v>
                </c:pt>
                <c:pt idx="9">
                  <c:v>0.2952898550724638</c:v>
                </c:pt>
                <c:pt idx="10">
                  <c:v>0.2952898550724638</c:v>
                </c:pt>
                <c:pt idx="11">
                  <c:v>0.2952898550724638</c:v>
                </c:pt>
                <c:pt idx="12">
                  <c:v>0.2952898550724638</c:v>
                </c:pt>
                <c:pt idx="13">
                  <c:v>0.2952898550724638</c:v>
                </c:pt>
                <c:pt idx="14">
                  <c:v>0.2952898550724638</c:v>
                </c:pt>
                <c:pt idx="15">
                  <c:v>0.2952898550724638</c:v>
                </c:pt>
                <c:pt idx="16">
                  <c:v>0.2952898550724638</c:v>
                </c:pt>
                <c:pt idx="17">
                  <c:v>0.2952898550724638</c:v>
                </c:pt>
                <c:pt idx="18">
                  <c:v>0.2952898550724638</c:v>
                </c:pt>
                <c:pt idx="19">
                  <c:v>0.2952898550724638</c:v>
                </c:pt>
                <c:pt idx="20">
                  <c:v>0.2952898550724638</c:v>
                </c:pt>
                <c:pt idx="21">
                  <c:v>0.2952898550724638</c:v>
                </c:pt>
                <c:pt idx="22">
                  <c:v>0.2952898550724638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BD-4985-B69E-5E535B951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FDF-49C7-A2DF-72F8DB547C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F-49C7-A2DF-72F8DB547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FDF-49C7-A2DF-72F8DB547C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DF-49C7-A2DF-72F8DB547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'26'!$L$6:$L$27</c:f>
              <c:numCache>
                <c:formatCode>_(* #,##0_);_(* \(#,##0\);_(* "-"_);_(@_)</c:formatCode>
                <c:ptCount val="22"/>
                <c:pt idx="0">
                  <c:v>13660</c:v>
                </c:pt>
                <c:pt idx="3">
                  <c:v>2296</c:v>
                </c:pt>
                <c:pt idx="6">
                  <c:v>4725</c:v>
                </c:pt>
                <c:pt idx="7">
                  <c:v>6708</c:v>
                </c:pt>
                <c:pt idx="8">
                  <c:v>1335</c:v>
                </c:pt>
                <c:pt idx="10">
                  <c:v>357152</c:v>
                </c:pt>
                <c:pt idx="12">
                  <c:v>2454</c:v>
                </c:pt>
                <c:pt idx="14">
                  <c:v>18744</c:v>
                </c:pt>
                <c:pt idx="18">
                  <c:v>23172</c:v>
                </c:pt>
                <c:pt idx="19">
                  <c:v>24016</c:v>
                </c:pt>
                <c:pt idx="20">
                  <c:v>24592</c:v>
                </c:pt>
                <c:pt idx="21">
                  <c:v>20088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8-4A83-849A-24556B2E564F}"/>
            </c:ext>
          </c:extLst>
        </c:ser>
        <c:ser>
          <c:idx val="1"/>
          <c:order val="1"/>
          <c:tx>
            <c:v>계획</c:v>
          </c:tx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'26'!$J$6:$J$27</c:f>
              <c:numCache>
                <c:formatCode>_(* #,##0_);_(* \(#,##0\);_(* "-"_);_(@_)</c:formatCode>
                <c:ptCount val="22"/>
                <c:pt idx="0">
                  <c:v>13660</c:v>
                </c:pt>
                <c:pt idx="1">
                  <c:v>761</c:v>
                </c:pt>
                <c:pt idx="2">
                  <c:v>100</c:v>
                </c:pt>
                <c:pt idx="3">
                  <c:v>2296</c:v>
                </c:pt>
                <c:pt idx="4">
                  <c:v>300</c:v>
                </c:pt>
                <c:pt idx="5">
                  <c:v>7306</c:v>
                </c:pt>
                <c:pt idx="6">
                  <c:v>4725</c:v>
                </c:pt>
                <c:pt idx="7">
                  <c:v>6708</c:v>
                </c:pt>
                <c:pt idx="8">
                  <c:v>1335</c:v>
                </c:pt>
                <c:pt idx="9">
                  <c:v>76</c:v>
                </c:pt>
                <c:pt idx="10">
                  <c:v>357152</c:v>
                </c:pt>
                <c:pt idx="11">
                  <c:v>4211</c:v>
                </c:pt>
                <c:pt idx="12">
                  <c:v>2454</c:v>
                </c:pt>
                <c:pt idx="13">
                  <c:v>1793</c:v>
                </c:pt>
                <c:pt idx="14">
                  <c:v>18744</c:v>
                </c:pt>
                <c:pt idx="15">
                  <c:v>36320</c:v>
                </c:pt>
                <c:pt idx="16">
                  <c:v>0</c:v>
                </c:pt>
                <c:pt idx="17">
                  <c:v>0</c:v>
                </c:pt>
                <c:pt idx="18">
                  <c:v>23172</c:v>
                </c:pt>
                <c:pt idx="19">
                  <c:v>24016</c:v>
                </c:pt>
                <c:pt idx="20">
                  <c:v>24592</c:v>
                </c:pt>
                <c:pt idx="21">
                  <c:v>20088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8-4A83-849A-24556B2E5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'26'!$AD$6:$AD$27</c:f>
              <c:strCache>
                <c:ptCount val="22"/>
                <c:pt idx="0">
                  <c:v>63%</c:v>
                </c:pt>
                <c:pt idx="1">
                  <c:v>0%</c:v>
                </c:pt>
                <c:pt idx="2">
                  <c:v>0%</c:v>
                </c:pt>
                <c:pt idx="3">
                  <c:v>46%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58%</c:v>
                </c:pt>
                <c:pt idx="8">
                  <c:v>50%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88%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88%</c:v>
                </c:pt>
                <c:pt idx="19">
                  <c:v>88%</c:v>
                </c:pt>
                <c:pt idx="20">
                  <c:v>88%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'26'!$AD$6:$AD$27</c:f>
              <c:numCache>
                <c:formatCode>0%</c:formatCode>
                <c:ptCount val="22"/>
                <c:pt idx="0">
                  <c:v>0.625</c:v>
                </c:pt>
                <c:pt idx="1">
                  <c:v>0</c:v>
                </c:pt>
                <c:pt idx="2">
                  <c:v>0</c:v>
                </c:pt>
                <c:pt idx="3">
                  <c:v>0.45833333333333331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0.58333333333333337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0.875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0.875</c:v>
                </c:pt>
                <c:pt idx="19">
                  <c:v>0.875</c:v>
                </c:pt>
                <c:pt idx="20">
                  <c:v>0.875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0-4462-9D6D-E88723EF5D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40-4462-9D6D-E88723EF5D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'26'!$AE$6:$AE$27</c:f>
              <c:numCache>
                <c:formatCode>0%</c:formatCode>
                <c:ptCount val="22"/>
                <c:pt idx="0">
                  <c:v>0.40530303030303028</c:v>
                </c:pt>
                <c:pt idx="1">
                  <c:v>0.40530303030303028</c:v>
                </c:pt>
                <c:pt idx="2">
                  <c:v>0.40530303030303028</c:v>
                </c:pt>
                <c:pt idx="3">
                  <c:v>0.40530303030303028</c:v>
                </c:pt>
                <c:pt idx="4">
                  <c:v>0.40530303030303028</c:v>
                </c:pt>
                <c:pt idx="5">
                  <c:v>0.40530303030303028</c:v>
                </c:pt>
                <c:pt idx="6">
                  <c:v>0.40530303030303028</c:v>
                </c:pt>
                <c:pt idx="7">
                  <c:v>0.40530303030303028</c:v>
                </c:pt>
                <c:pt idx="8">
                  <c:v>0.40530303030303028</c:v>
                </c:pt>
                <c:pt idx="9">
                  <c:v>0.40530303030303028</c:v>
                </c:pt>
                <c:pt idx="10">
                  <c:v>0.40530303030303028</c:v>
                </c:pt>
                <c:pt idx="11">
                  <c:v>0.40530303030303028</c:v>
                </c:pt>
                <c:pt idx="12">
                  <c:v>0.40530303030303028</c:v>
                </c:pt>
                <c:pt idx="13">
                  <c:v>0.40530303030303028</c:v>
                </c:pt>
                <c:pt idx="14">
                  <c:v>0.40530303030303028</c:v>
                </c:pt>
                <c:pt idx="15">
                  <c:v>0.40530303030303028</c:v>
                </c:pt>
                <c:pt idx="16">
                  <c:v>0.40530303030303028</c:v>
                </c:pt>
                <c:pt idx="17">
                  <c:v>0.40530303030303028</c:v>
                </c:pt>
                <c:pt idx="18">
                  <c:v>0.40530303030303028</c:v>
                </c:pt>
                <c:pt idx="19">
                  <c:v>0.40530303030303028</c:v>
                </c:pt>
                <c:pt idx="20">
                  <c:v>0.40530303030303028</c:v>
                </c:pt>
                <c:pt idx="21">
                  <c:v>0.40530303030303028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0-4462-9D6D-E88723EF5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'26'!$L$6:$L$27</c:f>
              <c:numCache>
                <c:formatCode>_(* #,##0_);_(* \(#,##0\);_(* "-"_);_(@_)</c:formatCode>
                <c:ptCount val="22"/>
                <c:pt idx="0">
                  <c:v>13660</c:v>
                </c:pt>
                <c:pt idx="3">
                  <c:v>2296</c:v>
                </c:pt>
                <c:pt idx="6">
                  <c:v>4725</c:v>
                </c:pt>
                <c:pt idx="7">
                  <c:v>6708</c:v>
                </c:pt>
                <c:pt idx="8">
                  <c:v>1335</c:v>
                </c:pt>
                <c:pt idx="10">
                  <c:v>357152</c:v>
                </c:pt>
                <c:pt idx="12">
                  <c:v>2454</c:v>
                </c:pt>
                <c:pt idx="14">
                  <c:v>18744</c:v>
                </c:pt>
                <c:pt idx="18">
                  <c:v>23172</c:v>
                </c:pt>
                <c:pt idx="19">
                  <c:v>24016</c:v>
                </c:pt>
                <c:pt idx="20">
                  <c:v>24592</c:v>
                </c:pt>
                <c:pt idx="21">
                  <c:v>20088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2-422F-A482-FDBE01623404}"/>
            </c:ext>
          </c:extLst>
        </c:ser>
        <c:ser>
          <c:idx val="1"/>
          <c:order val="1"/>
          <c:tx>
            <c:v>계획</c:v>
          </c:tx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'26'!$J$6:$J$27</c:f>
              <c:numCache>
                <c:formatCode>_(* #,##0_);_(* \(#,##0\);_(* "-"_);_(@_)</c:formatCode>
                <c:ptCount val="22"/>
                <c:pt idx="0">
                  <c:v>13660</c:v>
                </c:pt>
                <c:pt idx="1">
                  <c:v>761</c:v>
                </c:pt>
                <c:pt idx="2">
                  <c:v>100</c:v>
                </c:pt>
                <c:pt idx="3">
                  <c:v>2296</c:v>
                </c:pt>
                <c:pt idx="4">
                  <c:v>300</c:v>
                </c:pt>
                <c:pt idx="5">
                  <c:v>7306</c:v>
                </c:pt>
                <c:pt idx="6">
                  <c:v>4725</c:v>
                </c:pt>
                <c:pt idx="7">
                  <c:v>6708</c:v>
                </c:pt>
                <c:pt idx="8">
                  <c:v>1335</c:v>
                </c:pt>
                <c:pt idx="9">
                  <c:v>76</c:v>
                </c:pt>
                <c:pt idx="10">
                  <c:v>357152</c:v>
                </c:pt>
                <c:pt idx="11">
                  <c:v>4211</c:v>
                </c:pt>
                <c:pt idx="12">
                  <c:v>2454</c:v>
                </c:pt>
                <c:pt idx="13">
                  <c:v>1793</c:v>
                </c:pt>
                <c:pt idx="14">
                  <c:v>18744</c:v>
                </c:pt>
                <c:pt idx="15">
                  <c:v>36320</c:v>
                </c:pt>
                <c:pt idx="16">
                  <c:v>0</c:v>
                </c:pt>
                <c:pt idx="17">
                  <c:v>0</c:v>
                </c:pt>
                <c:pt idx="18">
                  <c:v>23172</c:v>
                </c:pt>
                <c:pt idx="19">
                  <c:v>24016</c:v>
                </c:pt>
                <c:pt idx="20">
                  <c:v>24592</c:v>
                </c:pt>
                <c:pt idx="21">
                  <c:v>20088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2-422F-A482-FDBE0162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'26'!$AD$6:$AD$27</c:f>
              <c:strCache>
                <c:ptCount val="22"/>
                <c:pt idx="0">
                  <c:v>63%</c:v>
                </c:pt>
                <c:pt idx="1">
                  <c:v>0%</c:v>
                </c:pt>
                <c:pt idx="2">
                  <c:v>0%</c:v>
                </c:pt>
                <c:pt idx="3">
                  <c:v>46%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58%</c:v>
                </c:pt>
                <c:pt idx="8">
                  <c:v>50%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88%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88%</c:v>
                </c:pt>
                <c:pt idx="19">
                  <c:v>88%</c:v>
                </c:pt>
                <c:pt idx="20">
                  <c:v>88%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'26'!$AD$6:$AD$27</c:f>
              <c:numCache>
                <c:formatCode>0%</c:formatCode>
                <c:ptCount val="22"/>
                <c:pt idx="0">
                  <c:v>0.625</c:v>
                </c:pt>
                <c:pt idx="1">
                  <c:v>0</c:v>
                </c:pt>
                <c:pt idx="2">
                  <c:v>0</c:v>
                </c:pt>
                <c:pt idx="3">
                  <c:v>0.45833333333333331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0.58333333333333337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0.875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0.875</c:v>
                </c:pt>
                <c:pt idx="19">
                  <c:v>0.875</c:v>
                </c:pt>
                <c:pt idx="20">
                  <c:v>0.875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8-445A-9C69-EF947774552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78-445A-9C69-EF947774552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STOPPER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'26'!$AE$6:$AE$27</c:f>
              <c:numCache>
                <c:formatCode>0%</c:formatCode>
                <c:ptCount val="22"/>
                <c:pt idx="0">
                  <c:v>0.40530303030303028</c:v>
                </c:pt>
                <c:pt idx="1">
                  <c:v>0.40530303030303028</c:v>
                </c:pt>
                <c:pt idx="2">
                  <c:v>0.40530303030303028</c:v>
                </c:pt>
                <c:pt idx="3">
                  <c:v>0.40530303030303028</c:v>
                </c:pt>
                <c:pt idx="4">
                  <c:v>0.40530303030303028</c:v>
                </c:pt>
                <c:pt idx="5">
                  <c:v>0.40530303030303028</c:v>
                </c:pt>
                <c:pt idx="6">
                  <c:v>0.40530303030303028</c:v>
                </c:pt>
                <c:pt idx="7">
                  <c:v>0.40530303030303028</c:v>
                </c:pt>
                <c:pt idx="8">
                  <c:v>0.40530303030303028</c:v>
                </c:pt>
                <c:pt idx="9">
                  <c:v>0.40530303030303028</c:v>
                </c:pt>
                <c:pt idx="10">
                  <c:v>0.40530303030303028</c:v>
                </c:pt>
                <c:pt idx="11">
                  <c:v>0.40530303030303028</c:v>
                </c:pt>
                <c:pt idx="12">
                  <c:v>0.40530303030303028</c:v>
                </c:pt>
                <c:pt idx="13">
                  <c:v>0.40530303030303028</c:v>
                </c:pt>
                <c:pt idx="14">
                  <c:v>0.40530303030303028</c:v>
                </c:pt>
                <c:pt idx="15">
                  <c:v>0.40530303030303028</c:v>
                </c:pt>
                <c:pt idx="16">
                  <c:v>0.40530303030303028</c:v>
                </c:pt>
                <c:pt idx="17">
                  <c:v>0.40530303030303028</c:v>
                </c:pt>
                <c:pt idx="18">
                  <c:v>0.40530303030303028</c:v>
                </c:pt>
                <c:pt idx="19">
                  <c:v>0.40530303030303028</c:v>
                </c:pt>
                <c:pt idx="20">
                  <c:v>0.40530303030303028</c:v>
                </c:pt>
                <c:pt idx="21">
                  <c:v>0.40530303030303028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8-445A-9C69-EF9477745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B30-4192-A750-C153090FE3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0-4192-A750-C153090FE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B30-4192-A750-C153090FE3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30-4192-A750-C153090FE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'27'!$L$6:$L$28</c:f>
              <c:numCache>
                <c:formatCode>_(* #,##0_);_(* \(#,##0\);_(* "-"_);_(@_)</c:formatCode>
                <c:ptCount val="23"/>
                <c:pt idx="0">
                  <c:v>22144</c:v>
                </c:pt>
                <c:pt idx="2">
                  <c:v>1614</c:v>
                </c:pt>
                <c:pt idx="3">
                  <c:v>5336</c:v>
                </c:pt>
                <c:pt idx="4">
                  <c:v>4228</c:v>
                </c:pt>
                <c:pt idx="5">
                  <c:v>1438</c:v>
                </c:pt>
                <c:pt idx="6">
                  <c:v>5285</c:v>
                </c:pt>
                <c:pt idx="7">
                  <c:v>13390</c:v>
                </c:pt>
                <c:pt idx="8">
                  <c:v>1471</c:v>
                </c:pt>
                <c:pt idx="10">
                  <c:v>391744</c:v>
                </c:pt>
                <c:pt idx="12">
                  <c:v>9826</c:v>
                </c:pt>
                <c:pt idx="13">
                  <c:v>1682</c:v>
                </c:pt>
                <c:pt idx="14">
                  <c:v>2120</c:v>
                </c:pt>
                <c:pt idx="15">
                  <c:v>23224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1-4F32-B86B-AE7F3F35B9DA}"/>
            </c:ext>
          </c:extLst>
        </c:ser>
        <c:ser>
          <c:idx val="1"/>
          <c:order val="1"/>
          <c:tx>
            <c:v>계획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'27'!$J$6:$J$28</c:f>
              <c:numCache>
                <c:formatCode>_(* #,##0_);_(* \(#,##0\);_(* "-"_);_(@_)</c:formatCode>
                <c:ptCount val="23"/>
                <c:pt idx="0">
                  <c:v>22144</c:v>
                </c:pt>
                <c:pt idx="1">
                  <c:v>761</c:v>
                </c:pt>
                <c:pt idx="2">
                  <c:v>1614</c:v>
                </c:pt>
                <c:pt idx="3">
                  <c:v>5336</c:v>
                </c:pt>
                <c:pt idx="4">
                  <c:v>4228</c:v>
                </c:pt>
                <c:pt idx="5">
                  <c:v>1438</c:v>
                </c:pt>
                <c:pt idx="6">
                  <c:v>5285</c:v>
                </c:pt>
                <c:pt idx="7">
                  <c:v>13390</c:v>
                </c:pt>
                <c:pt idx="8">
                  <c:v>1471</c:v>
                </c:pt>
                <c:pt idx="9">
                  <c:v>76</c:v>
                </c:pt>
                <c:pt idx="10">
                  <c:v>391744</c:v>
                </c:pt>
                <c:pt idx="11">
                  <c:v>4211</c:v>
                </c:pt>
                <c:pt idx="12">
                  <c:v>9826</c:v>
                </c:pt>
                <c:pt idx="13">
                  <c:v>1682</c:v>
                </c:pt>
                <c:pt idx="14">
                  <c:v>2120</c:v>
                </c:pt>
                <c:pt idx="15">
                  <c:v>23224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71-4F32-B86B-AE7F3F35B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'27'!$AD$6:$AD$28</c:f>
              <c:strCache>
                <c:ptCount val="23"/>
                <c:pt idx="0">
                  <c:v>96%</c:v>
                </c:pt>
                <c:pt idx="1">
                  <c:v>0%</c:v>
                </c:pt>
                <c:pt idx="2">
                  <c:v>21%</c:v>
                </c:pt>
                <c:pt idx="3">
                  <c:v>100%</c:v>
                </c:pt>
                <c:pt idx="4">
                  <c:v>21%</c:v>
                </c:pt>
                <c:pt idx="5">
                  <c:v>21%</c:v>
                </c:pt>
                <c:pt idx="6">
                  <c:v>100%</c:v>
                </c:pt>
                <c:pt idx="7">
                  <c:v>100%</c:v>
                </c:pt>
                <c:pt idx="8">
                  <c:v>50%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88%</c:v>
                </c:pt>
                <c:pt idx="13">
                  <c:v>21%</c:v>
                </c:pt>
                <c:pt idx="14">
                  <c:v>21%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'27'!$AD$6:$AD$28</c:f>
              <c:numCache>
                <c:formatCode>0%</c:formatCode>
                <c:ptCount val="23"/>
                <c:pt idx="0">
                  <c:v>0.95833333333333337</c:v>
                </c:pt>
                <c:pt idx="1">
                  <c:v>0</c:v>
                </c:pt>
                <c:pt idx="2">
                  <c:v>0.20833333333333334</c:v>
                </c:pt>
                <c:pt idx="3">
                  <c:v>1</c:v>
                </c:pt>
                <c:pt idx="4">
                  <c:v>0.20833333333333334</c:v>
                </c:pt>
                <c:pt idx="5">
                  <c:v>0.20833333333333334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0.875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8-4760-8091-EE7162647A6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18-4760-8091-EE7162647A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'27'!$AE$6:$AE$28</c:f>
              <c:numCache>
                <c:formatCode>0%</c:formatCode>
                <c:ptCount val="23"/>
                <c:pt idx="0">
                  <c:v>0.53442028985507239</c:v>
                </c:pt>
                <c:pt idx="1">
                  <c:v>0.53442028985507239</c:v>
                </c:pt>
                <c:pt idx="2">
                  <c:v>0.53442028985507239</c:v>
                </c:pt>
                <c:pt idx="3">
                  <c:v>0.53442028985507239</c:v>
                </c:pt>
                <c:pt idx="4">
                  <c:v>0.53442028985507239</c:v>
                </c:pt>
                <c:pt idx="5">
                  <c:v>0.53442028985507239</c:v>
                </c:pt>
                <c:pt idx="6">
                  <c:v>0.53442028985507239</c:v>
                </c:pt>
                <c:pt idx="7">
                  <c:v>0.53442028985507239</c:v>
                </c:pt>
                <c:pt idx="8">
                  <c:v>0.53442028985507239</c:v>
                </c:pt>
                <c:pt idx="9">
                  <c:v>0.53442028985507239</c:v>
                </c:pt>
                <c:pt idx="10">
                  <c:v>0.53442028985507239</c:v>
                </c:pt>
                <c:pt idx="11">
                  <c:v>0.53442028985507239</c:v>
                </c:pt>
                <c:pt idx="12">
                  <c:v>0.53442028985507239</c:v>
                </c:pt>
                <c:pt idx="13">
                  <c:v>0.53442028985507239</c:v>
                </c:pt>
                <c:pt idx="14">
                  <c:v>0.53442028985507239</c:v>
                </c:pt>
                <c:pt idx="15">
                  <c:v>0.53442028985507239</c:v>
                </c:pt>
                <c:pt idx="16">
                  <c:v>0.53442028985507239</c:v>
                </c:pt>
                <c:pt idx="17">
                  <c:v>0.53442028985507239</c:v>
                </c:pt>
                <c:pt idx="18">
                  <c:v>0.53442028985507239</c:v>
                </c:pt>
                <c:pt idx="19">
                  <c:v>0.53442028985507239</c:v>
                </c:pt>
                <c:pt idx="20">
                  <c:v>0.53442028985507239</c:v>
                </c:pt>
                <c:pt idx="21">
                  <c:v>0.53442028985507239</c:v>
                </c:pt>
                <c:pt idx="22">
                  <c:v>0.53442028985507239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8-4760-8091-EE7162647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'27'!$L$6:$L$28</c:f>
              <c:numCache>
                <c:formatCode>_(* #,##0_);_(* \(#,##0\);_(* "-"_);_(@_)</c:formatCode>
                <c:ptCount val="23"/>
                <c:pt idx="0">
                  <c:v>22144</c:v>
                </c:pt>
                <c:pt idx="2">
                  <c:v>1614</c:v>
                </c:pt>
                <c:pt idx="3">
                  <c:v>5336</c:v>
                </c:pt>
                <c:pt idx="4">
                  <c:v>4228</c:v>
                </c:pt>
                <c:pt idx="5">
                  <c:v>1438</c:v>
                </c:pt>
                <c:pt idx="6">
                  <c:v>5285</c:v>
                </c:pt>
                <c:pt idx="7">
                  <c:v>13390</c:v>
                </c:pt>
                <c:pt idx="8">
                  <c:v>1471</c:v>
                </c:pt>
                <c:pt idx="10">
                  <c:v>391744</c:v>
                </c:pt>
                <c:pt idx="12">
                  <c:v>9826</c:v>
                </c:pt>
                <c:pt idx="13">
                  <c:v>1682</c:v>
                </c:pt>
                <c:pt idx="14">
                  <c:v>2120</c:v>
                </c:pt>
                <c:pt idx="15">
                  <c:v>23224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E-4ED4-B238-381F7BC864A7}"/>
            </c:ext>
          </c:extLst>
        </c:ser>
        <c:ser>
          <c:idx val="1"/>
          <c:order val="1"/>
          <c:tx>
            <c:v>계획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'27'!$J$6:$J$28</c:f>
              <c:numCache>
                <c:formatCode>_(* #,##0_);_(* \(#,##0\);_(* "-"_);_(@_)</c:formatCode>
                <c:ptCount val="23"/>
                <c:pt idx="0">
                  <c:v>22144</c:v>
                </c:pt>
                <c:pt idx="1">
                  <c:v>761</c:v>
                </c:pt>
                <c:pt idx="2">
                  <c:v>1614</c:v>
                </c:pt>
                <c:pt idx="3">
                  <c:v>5336</c:v>
                </c:pt>
                <c:pt idx="4">
                  <c:v>4228</c:v>
                </c:pt>
                <c:pt idx="5">
                  <c:v>1438</c:v>
                </c:pt>
                <c:pt idx="6">
                  <c:v>5285</c:v>
                </c:pt>
                <c:pt idx="7">
                  <c:v>13390</c:v>
                </c:pt>
                <c:pt idx="8">
                  <c:v>1471</c:v>
                </c:pt>
                <c:pt idx="9">
                  <c:v>76</c:v>
                </c:pt>
                <c:pt idx="10">
                  <c:v>391744</c:v>
                </c:pt>
                <c:pt idx="11">
                  <c:v>4211</c:v>
                </c:pt>
                <c:pt idx="12">
                  <c:v>9826</c:v>
                </c:pt>
                <c:pt idx="13">
                  <c:v>1682</c:v>
                </c:pt>
                <c:pt idx="14">
                  <c:v>2120</c:v>
                </c:pt>
                <c:pt idx="15">
                  <c:v>23224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E-4ED4-B238-381F7BC86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'27'!$AD$6:$AD$28</c:f>
              <c:strCache>
                <c:ptCount val="23"/>
                <c:pt idx="0">
                  <c:v>96%</c:v>
                </c:pt>
                <c:pt idx="1">
                  <c:v>0%</c:v>
                </c:pt>
                <c:pt idx="2">
                  <c:v>21%</c:v>
                </c:pt>
                <c:pt idx="3">
                  <c:v>100%</c:v>
                </c:pt>
                <c:pt idx="4">
                  <c:v>21%</c:v>
                </c:pt>
                <c:pt idx="5">
                  <c:v>21%</c:v>
                </c:pt>
                <c:pt idx="6">
                  <c:v>100%</c:v>
                </c:pt>
                <c:pt idx="7">
                  <c:v>100%</c:v>
                </c:pt>
                <c:pt idx="8">
                  <c:v>50%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88%</c:v>
                </c:pt>
                <c:pt idx="13">
                  <c:v>21%</c:v>
                </c:pt>
                <c:pt idx="14">
                  <c:v>21%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'27'!$AD$6:$AD$28</c:f>
              <c:numCache>
                <c:formatCode>0%</c:formatCode>
                <c:ptCount val="23"/>
                <c:pt idx="0">
                  <c:v>0.95833333333333337</c:v>
                </c:pt>
                <c:pt idx="1">
                  <c:v>0</c:v>
                </c:pt>
                <c:pt idx="2">
                  <c:v>0.20833333333333334</c:v>
                </c:pt>
                <c:pt idx="3">
                  <c:v>1</c:v>
                </c:pt>
                <c:pt idx="4">
                  <c:v>0.20833333333333334</c:v>
                </c:pt>
                <c:pt idx="5">
                  <c:v>0.20833333333333334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0.875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6-493F-A762-2D91DA2DB8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E6-493F-A762-2D91DA2DB8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COVER</c:v>
                </c:pt>
                <c:pt idx="14">
                  <c:v>60P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'27'!$AE$6:$AE$28</c:f>
              <c:numCache>
                <c:formatCode>0%</c:formatCode>
                <c:ptCount val="23"/>
                <c:pt idx="0">
                  <c:v>0.53442028985507239</c:v>
                </c:pt>
                <c:pt idx="1">
                  <c:v>0.53442028985507239</c:v>
                </c:pt>
                <c:pt idx="2">
                  <c:v>0.53442028985507239</c:v>
                </c:pt>
                <c:pt idx="3">
                  <c:v>0.53442028985507239</c:v>
                </c:pt>
                <c:pt idx="4">
                  <c:v>0.53442028985507239</c:v>
                </c:pt>
                <c:pt idx="5">
                  <c:v>0.53442028985507239</c:v>
                </c:pt>
                <c:pt idx="6">
                  <c:v>0.53442028985507239</c:v>
                </c:pt>
                <c:pt idx="7">
                  <c:v>0.53442028985507239</c:v>
                </c:pt>
                <c:pt idx="8">
                  <c:v>0.53442028985507239</c:v>
                </c:pt>
                <c:pt idx="9">
                  <c:v>0.53442028985507239</c:v>
                </c:pt>
                <c:pt idx="10">
                  <c:v>0.53442028985507239</c:v>
                </c:pt>
                <c:pt idx="11">
                  <c:v>0.53442028985507239</c:v>
                </c:pt>
                <c:pt idx="12">
                  <c:v>0.53442028985507239</c:v>
                </c:pt>
                <c:pt idx="13">
                  <c:v>0.53442028985507239</c:v>
                </c:pt>
                <c:pt idx="14">
                  <c:v>0.53442028985507239</c:v>
                </c:pt>
                <c:pt idx="15">
                  <c:v>0.53442028985507239</c:v>
                </c:pt>
                <c:pt idx="16">
                  <c:v>0.53442028985507239</c:v>
                </c:pt>
                <c:pt idx="17">
                  <c:v>0.53442028985507239</c:v>
                </c:pt>
                <c:pt idx="18">
                  <c:v>0.53442028985507239</c:v>
                </c:pt>
                <c:pt idx="19">
                  <c:v>0.53442028985507239</c:v>
                </c:pt>
                <c:pt idx="20">
                  <c:v>0.53442028985507239</c:v>
                </c:pt>
                <c:pt idx="21">
                  <c:v>0.53442028985507239</c:v>
                </c:pt>
                <c:pt idx="22">
                  <c:v>0.53442028985507239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6-493F-A762-2D91DA2DB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819-4837-AE3D-35549522A0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9-4837-AE3D-35549522A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819-4837-AE3D-35549522A0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19-4837-AE3D-35549522A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'28'!$L$6:$L$28</c:f>
              <c:numCache>
                <c:formatCode>_(* #,##0_);_(* \(#,##0\);_(* "-"_);_(@_)</c:formatCode>
                <c:ptCount val="23"/>
                <c:pt idx="0">
                  <c:v>1913</c:v>
                </c:pt>
                <c:pt idx="2">
                  <c:v>1614</c:v>
                </c:pt>
                <c:pt idx="3">
                  <c:v>1156</c:v>
                </c:pt>
                <c:pt idx="4">
                  <c:v>5578</c:v>
                </c:pt>
                <c:pt idx="6">
                  <c:v>1642</c:v>
                </c:pt>
                <c:pt idx="7">
                  <c:v>5308</c:v>
                </c:pt>
                <c:pt idx="8">
                  <c:v>13428</c:v>
                </c:pt>
                <c:pt idx="9">
                  <c:v>1250</c:v>
                </c:pt>
                <c:pt idx="11">
                  <c:v>392352</c:v>
                </c:pt>
                <c:pt idx="13">
                  <c:v>11714</c:v>
                </c:pt>
                <c:pt idx="15">
                  <c:v>19112</c:v>
                </c:pt>
                <c:pt idx="19">
                  <c:v>27392</c:v>
                </c:pt>
                <c:pt idx="20">
                  <c:v>22600</c:v>
                </c:pt>
                <c:pt idx="21">
                  <c:v>21716</c:v>
                </c:pt>
                <c:pt idx="22">
                  <c:v>24640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C-494D-BFEA-BF83A77639B3}"/>
            </c:ext>
          </c:extLst>
        </c:ser>
        <c:ser>
          <c:idx val="1"/>
          <c:order val="1"/>
          <c:tx>
            <c:v>계획</c:v>
          </c:tx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'28'!$J$6:$J$28</c:f>
              <c:numCache>
                <c:formatCode>_(* #,##0_);_(* \(#,##0\);_(* "-"_);_(@_)</c:formatCode>
                <c:ptCount val="23"/>
                <c:pt idx="0">
                  <c:v>1913</c:v>
                </c:pt>
                <c:pt idx="1">
                  <c:v>761</c:v>
                </c:pt>
                <c:pt idx="2">
                  <c:v>1614</c:v>
                </c:pt>
                <c:pt idx="3">
                  <c:v>1156</c:v>
                </c:pt>
                <c:pt idx="4">
                  <c:v>5578</c:v>
                </c:pt>
                <c:pt idx="5">
                  <c:v>4228</c:v>
                </c:pt>
                <c:pt idx="6">
                  <c:v>1642</c:v>
                </c:pt>
                <c:pt idx="7">
                  <c:v>5308</c:v>
                </c:pt>
                <c:pt idx="8">
                  <c:v>13428</c:v>
                </c:pt>
                <c:pt idx="9">
                  <c:v>1250</c:v>
                </c:pt>
                <c:pt idx="10">
                  <c:v>76</c:v>
                </c:pt>
                <c:pt idx="11">
                  <c:v>392352</c:v>
                </c:pt>
                <c:pt idx="12">
                  <c:v>4211</c:v>
                </c:pt>
                <c:pt idx="13">
                  <c:v>11714</c:v>
                </c:pt>
                <c:pt idx="14">
                  <c:v>1682</c:v>
                </c:pt>
                <c:pt idx="15">
                  <c:v>19112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C-494D-BFEA-BF83A7763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'28'!$AD$6:$AD$28</c:f>
              <c:strCache>
                <c:ptCount val="23"/>
                <c:pt idx="0">
                  <c:v>50%</c:v>
                </c:pt>
                <c:pt idx="1">
                  <c:v>0%</c:v>
                </c:pt>
                <c:pt idx="2">
                  <c:v>21%</c:v>
                </c:pt>
                <c:pt idx="3">
                  <c:v>21%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100%</c:v>
                </c:pt>
                <c:pt idx="8">
                  <c:v>100%</c:v>
                </c:pt>
                <c:pt idx="9">
                  <c:v>50%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85%</c:v>
                </c:pt>
                <c:pt idx="20">
                  <c:v>70%</c:v>
                </c:pt>
                <c:pt idx="21">
                  <c:v>67%</c:v>
                </c:pt>
                <c:pt idx="22">
                  <c:v>82%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'28'!$AD$6:$AD$28</c:f>
              <c:numCache>
                <c:formatCode>0%</c:formatCode>
                <c:ptCount val="23"/>
                <c:pt idx="0">
                  <c:v>0.5</c:v>
                </c:pt>
                <c:pt idx="1">
                  <c:v>0</c:v>
                </c:pt>
                <c:pt idx="2">
                  <c:v>0.20833333333333334</c:v>
                </c:pt>
                <c:pt idx="3">
                  <c:v>0.20833333333333334</c:v>
                </c:pt>
                <c:pt idx="4">
                  <c:v>1</c:v>
                </c:pt>
                <c:pt idx="5">
                  <c:v>0</c:v>
                </c:pt>
                <c:pt idx="6">
                  <c:v>0.20833333333333334</c:v>
                </c:pt>
                <c:pt idx="7">
                  <c:v>1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0.85222585691935704</c:v>
                </c:pt>
                <c:pt idx="20">
                  <c:v>0.70357640964335533</c:v>
                </c:pt>
                <c:pt idx="21">
                  <c:v>0.67163994457640541</c:v>
                </c:pt>
                <c:pt idx="22">
                  <c:v>0.82315210751374457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D-4B5F-8DF8-12136004B0C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7D-4B5F-8DF8-12136004B0C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'28'!$AE$6:$AE$28</c:f>
              <c:numCache>
                <c:formatCode>0%</c:formatCode>
                <c:ptCount val="23"/>
                <c:pt idx="0">
                  <c:v>0.46053308631824036</c:v>
                </c:pt>
                <c:pt idx="1">
                  <c:v>0.46053308631824036</c:v>
                </c:pt>
                <c:pt idx="2">
                  <c:v>0.46053308631824036</c:v>
                </c:pt>
                <c:pt idx="3">
                  <c:v>0.46053308631824036</c:v>
                </c:pt>
                <c:pt idx="4">
                  <c:v>0.46053308631824036</c:v>
                </c:pt>
                <c:pt idx="5">
                  <c:v>0.46053308631824036</c:v>
                </c:pt>
                <c:pt idx="6">
                  <c:v>0.46053308631824036</c:v>
                </c:pt>
                <c:pt idx="7">
                  <c:v>0.46053308631824036</c:v>
                </c:pt>
                <c:pt idx="8">
                  <c:v>0.46053308631824036</c:v>
                </c:pt>
                <c:pt idx="9">
                  <c:v>0.46053308631824036</c:v>
                </c:pt>
                <c:pt idx="10">
                  <c:v>0.46053308631824036</c:v>
                </c:pt>
                <c:pt idx="11">
                  <c:v>0.46053308631824036</c:v>
                </c:pt>
                <c:pt idx="12">
                  <c:v>0.46053308631824036</c:v>
                </c:pt>
                <c:pt idx="13">
                  <c:v>0.46053308631824036</c:v>
                </c:pt>
                <c:pt idx="14">
                  <c:v>0.46053308631824036</c:v>
                </c:pt>
                <c:pt idx="15">
                  <c:v>0.46053308631824036</c:v>
                </c:pt>
                <c:pt idx="16">
                  <c:v>0.46053308631824036</c:v>
                </c:pt>
                <c:pt idx="17">
                  <c:v>0.46053308631824036</c:v>
                </c:pt>
                <c:pt idx="18">
                  <c:v>0.46053308631824036</c:v>
                </c:pt>
                <c:pt idx="19">
                  <c:v>0.46053308631824036</c:v>
                </c:pt>
                <c:pt idx="20">
                  <c:v>0.46053308631824036</c:v>
                </c:pt>
                <c:pt idx="21">
                  <c:v>0.46053308631824036</c:v>
                </c:pt>
                <c:pt idx="22">
                  <c:v>0.46053308631824036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D-4B5F-8DF8-12136004B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'28'!$L$6:$L$28</c:f>
              <c:numCache>
                <c:formatCode>_(* #,##0_);_(* \(#,##0\);_(* "-"_);_(@_)</c:formatCode>
                <c:ptCount val="23"/>
                <c:pt idx="0">
                  <c:v>1913</c:v>
                </c:pt>
                <c:pt idx="2">
                  <c:v>1614</c:v>
                </c:pt>
                <c:pt idx="3">
                  <c:v>1156</c:v>
                </c:pt>
                <c:pt idx="4">
                  <c:v>5578</c:v>
                </c:pt>
                <c:pt idx="6">
                  <c:v>1642</c:v>
                </c:pt>
                <c:pt idx="7">
                  <c:v>5308</c:v>
                </c:pt>
                <c:pt idx="8">
                  <c:v>13428</c:v>
                </c:pt>
                <c:pt idx="9">
                  <c:v>1250</c:v>
                </c:pt>
                <c:pt idx="11">
                  <c:v>392352</c:v>
                </c:pt>
                <c:pt idx="13">
                  <c:v>11714</c:v>
                </c:pt>
                <c:pt idx="15">
                  <c:v>19112</c:v>
                </c:pt>
                <c:pt idx="19">
                  <c:v>27392</c:v>
                </c:pt>
                <c:pt idx="20">
                  <c:v>22600</c:v>
                </c:pt>
                <c:pt idx="21">
                  <c:v>21716</c:v>
                </c:pt>
                <c:pt idx="22">
                  <c:v>24640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5-413D-8213-4EC339416B8A}"/>
            </c:ext>
          </c:extLst>
        </c:ser>
        <c:ser>
          <c:idx val="1"/>
          <c:order val="1"/>
          <c:tx>
            <c:v>계획</c:v>
          </c:tx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'28'!$J$6:$J$28</c:f>
              <c:numCache>
                <c:formatCode>_(* #,##0_);_(* \(#,##0\);_(* "-"_);_(@_)</c:formatCode>
                <c:ptCount val="23"/>
                <c:pt idx="0">
                  <c:v>1913</c:v>
                </c:pt>
                <c:pt idx="1">
                  <c:v>761</c:v>
                </c:pt>
                <c:pt idx="2">
                  <c:v>1614</c:v>
                </c:pt>
                <c:pt idx="3">
                  <c:v>1156</c:v>
                </c:pt>
                <c:pt idx="4">
                  <c:v>5578</c:v>
                </c:pt>
                <c:pt idx="5">
                  <c:v>4228</c:v>
                </c:pt>
                <c:pt idx="6">
                  <c:v>1642</c:v>
                </c:pt>
                <c:pt idx="7">
                  <c:v>5308</c:v>
                </c:pt>
                <c:pt idx="8">
                  <c:v>13428</c:v>
                </c:pt>
                <c:pt idx="9">
                  <c:v>1250</c:v>
                </c:pt>
                <c:pt idx="10">
                  <c:v>76</c:v>
                </c:pt>
                <c:pt idx="11">
                  <c:v>392352</c:v>
                </c:pt>
                <c:pt idx="12">
                  <c:v>4211</c:v>
                </c:pt>
                <c:pt idx="13">
                  <c:v>11714</c:v>
                </c:pt>
                <c:pt idx="14">
                  <c:v>1682</c:v>
                </c:pt>
                <c:pt idx="15">
                  <c:v>19112</c:v>
                </c:pt>
                <c:pt idx="16">
                  <c:v>36320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85-413D-8213-4EC339416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'28'!$AD$6:$AD$28</c:f>
              <c:strCache>
                <c:ptCount val="23"/>
                <c:pt idx="0">
                  <c:v>50%</c:v>
                </c:pt>
                <c:pt idx="1">
                  <c:v>0%</c:v>
                </c:pt>
                <c:pt idx="2">
                  <c:v>21%</c:v>
                </c:pt>
                <c:pt idx="3">
                  <c:v>21%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100%</c:v>
                </c:pt>
                <c:pt idx="8">
                  <c:v>100%</c:v>
                </c:pt>
                <c:pt idx="9">
                  <c:v>50%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85%</c:v>
                </c:pt>
                <c:pt idx="20">
                  <c:v>70%</c:v>
                </c:pt>
                <c:pt idx="21">
                  <c:v>67%</c:v>
                </c:pt>
                <c:pt idx="22">
                  <c:v>82%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'28'!$AD$6:$AD$28</c:f>
              <c:numCache>
                <c:formatCode>0%</c:formatCode>
                <c:ptCount val="23"/>
                <c:pt idx="0">
                  <c:v>0.5</c:v>
                </c:pt>
                <c:pt idx="1">
                  <c:v>0</c:v>
                </c:pt>
                <c:pt idx="2">
                  <c:v>0.20833333333333334</c:v>
                </c:pt>
                <c:pt idx="3">
                  <c:v>0.20833333333333334</c:v>
                </c:pt>
                <c:pt idx="4">
                  <c:v>1</c:v>
                </c:pt>
                <c:pt idx="5">
                  <c:v>0</c:v>
                </c:pt>
                <c:pt idx="6">
                  <c:v>0.20833333333333334</c:v>
                </c:pt>
                <c:pt idx="7">
                  <c:v>1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0.85222585691935704</c:v>
                </c:pt>
                <c:pt idx="20">
                  <c:v>0.70357640964335533</c:v>
                </c:pt>
                <c:pt idx="21">
                  <c:v>0.67163994457640541</c:v>
                </c:pt>
                <c:pt idx="22">
                  <c:v>0.82315210751374457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7-4C35-A806-0D5BEE5A1C8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A7-4C35-A806-0D5BEE5A1C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'28'!$D$6:$D$28</c:f>
              <c:strCache>
                <c:ptCount val="23"/>
                <c:pt idx="0">
                  <c:v>FLOATING</c:v>
                </c:pt>
                <c:pt idx="1">
                  <c:v>F/A</c:v>
                </c:pt>
                <c:pt idx="2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COVER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'28'!$AE$6:$AE$28</c:f>
              <c:numCache>
                <c:formatCode>0%</c:formatCode>
                <c:ptCount val="23"/>
                <c:pt idx="0">
                  <c:v>0.46053308631824036</c:v>
                </c:pt>
                <c:pt idx="1">
                  <c:v>0.46053308631824036</c:v>
                </c:pt>
                <c:pt idx="2">
                  <c:v>0.46053308631824036</c:v>
                </c:pt>
                <c:pt idx="3">
                  <c:v>0.46053308631824036</c:v>
                </c:pt>
                <c:pt idx="4">
                  <c:v>0.46053308631824036</c:v>
                </c:pt>
                <c:pt idx="5">
                  <c:v>0.46053308631824036</c:v>
                </c:pt>
                <c:pt idx="6">
                  <c:v>0.46053308631824036</c:v>
                </c:pt>
                <c:pt idx="7">
                  <c:v>0.46053308631824036</c:v>
                </c:pt>
                <c:pt idx="8">
                  <c:v>0.46053308631824036</c:v>
                </c:pt>
                <c:pt idx="9">
                  <c:v>0.46053308631824036</c:v>
                </c:pt>
                <c:pt idx="10">
                  <c:v>0.46053308631824036</c:v>
                </c:pt>
                <c:pt idx="11">
                  <c:v>0.46053308631824036</c:v>
                </c:pt>
                <c:pt idx="12">
                  <c:v>0.46053308631824036</c:v>
                </c:pt>
                <c:pt idx="13">
                  <c:v>0.46053308631824036</c:v>
                </c:pt>
                <c:pt idx="14">
                  <c:v>0.46053308631824036</c:v>
                </c:pt>
                <c:pt idx="15">
                  <c:v>0.46053308631824036</c:v>
                </c:pt>
                <c:pt idx="16">
                  <c:v>0.46053308631824036</c:v>
                </c:pt>
                <c:pt idx="17">
                  <c:v>0.46053308631824036</c:v>
                </c:pt>
                <c:pt idx="18">
                  <c:v>0.46053308631824036</c:v>
                </c:pt>
                <c:pt idx="19">
                  <c:v>0.46053308631824036</c:v>
                </c:pt>
                <c:pt idx="20">
                  <c:v>0.46053308631824036</c:v>
                </c:pt>
                <c:pt idx="21">
                  <c:v>0.46053308631824036</c:v>
                </c:pt>
                <c:pt idx="22">
                  <c:v>0.46053308631824036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A7-4C35-A806-0D5BEE5A1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8AA-4DAB-AF57-2FB8B9A077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A-4DAB-AF57-2FB8B9A07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8AA-4DAB-AF57-2FB8B9A0779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AA-4DAB-AF57-2FB8B9A07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'29'!$L$6:$L$28</c:f>
              <c:numCache>
                <c:formatCode>_(* #,##0_);_(* \(#,##0\);_(* "-"_);_(@_)</c:formatCode>
                <c:ptCount val="23"/>
                <c:pt idx="0">
                  <c:v>1254</c:v>
                </c:pt>
                <c:pt idx="1">
                  <c:v>2806</c:v>
                </c:pt>
                <c:pt idx="2">
                  <c:v>10180</c:v>
                </c:pt>
                <c:pt idx="3">
                  <c:v>3687</c:v>
                </c:pt>
                <c:pt idx="4">
                  <c:v>5627</c:v>
                </c:pt>
                <c:pt idx="7">
                  <c:v>3502</c:v>
                </c:pt>
                <c:pt idx="8">
                  <c:v>13596</c:v>
                </c:pt>
                <c:pt idx="11">
                  <c:v>402688</c:v>
                </c:pt>
                <c:pt idx="13">
                  <c:v>9940</c:v>
                </c:pt>
                <c:pt idx="14">
                  <c:v>4914</c:v>
                </c:pt>
                <c:pt idx="15">
                  <c:v>21656</c:v>
                </c:pt>
                <c:pt idx="16">
                  <c:v>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2-4AB6-A61F-75EB91BEB3E5}"/>
            </c:ext>
          </c:extLst>
        </c:ser>
        <c:ser>
          <c:idx val="1"/>
          <c:order val="1"/>
          <c:tx>
            <c:v>계획</c:v>
          </c:tx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'29'!$J$6:$J$28</c:f>
              <c:numCache>
                <c:formatCode>_(* #,##0_);_(* \(#,##0\);_(* "-"_);_(@_)</c:formatCode>
                <c:ptCount val="23"/>
                <c:pt idx="0">
                  <c:v>1254</c:v>
                </c:pt>
                <c:pt idx="1">
                  <c:v>2806</c:v>
                </c:pt>
                <c:pt idx="2">
                  <c:v>10180</c:v>
                </c:pt>
                <c:pt idx="3">
                  <c:v>3687</c:v>
                </c:pt>
                <c:pt idx="4">
                  <c:v>5627</c:v>
                </c:pt>
                <c:pt idx="5">
                  <c:v>4228</c:v>
                </c:pt>
                <c:pt idx="6">
                  <c:v>1642</c:v>
                </c:pt>
                <c:pt idx="7">
                  <c:v>3502</c:v>
                </c:pt>
                <c:pt idx="8">
                  <c:v>13596</c:v>
                </c:pt>
                <c:pt idx="9">
                  <c:v>1250</c:v>
                </c:pt>
                <c:pt idx="10">
                  <c:v>76</c:v>
                </c:pt>
                <c:pt idx="11">
                  <c:v>402688</c:v>
                </c:pt>
                <c:pt idx="12">
                  <c:v>4211</c:v>
                </c:pt>
                <c:pt idx="13">
                  <c:v>9940</c:v>
                </c:pt>
                <c:pt idx="14">
                  <c:v>4914</c:v>
                </c:pt>
                <c:pt idx="15">
                  <c:v>21656</c:v>
                </c:pt>
                <c:pt idx="16">
                  <c:v>8901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2-4AB6-A61F-75EB91BE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'29'!$AD$6:$AD$28</c:f>
              <c:strCache>
                <c:ptCount val="23"/>
                <c:pt idx="0">
                  <c:v>17%</c:v>
                </c:pt>
                <c:pt idx="1">
                  <c:v>58%</c:v>
                </c:pt>
                <c:pt idx="2">
                  <c:v>96%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79%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88%</c:v>
                </c:pt>
                <c:pt idx="14">
                  <c:v>42%</c:v>
                </c:pt>
                <c:pt idx="15">
                  <c:v>96%</c:v>
                </c:pt>
                <c:pt idx="16">
                  <c:v>25%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'29'!$AD$6:$AD$28</c:f>
              <c:numCache>
                <c:formatCode>0%</c:formatCode>
                <c:ptCount val="23"/>
                <c:pt idx="0">
                  <c:v>0.16666666666666666</c:v>
                </c:pt>
                <c:pt idx="1">
                  <c:v>0.58333333333333337</c:v>
                </c:pt>
                <c:pt idx="2">
                  <c:v>0.95833333333333337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0.79166666666666663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0.875</c:v>
                </c:pt>
                <c:pt idx="14">
                  <c:v>0.41666666666666669</c:v>
                </c:pt>
                <c:pt idx="15">
                  <c:v>0.95833333333333337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ADC-850E-A196C1A0B1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36-4ADC-850E-A196C1A0B1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'29'!$AE$6:$AE$28</c:f>
              <c:numCache>
                <c:formatCode>0%</c:formatCode>
                <c:ptCount val="23"/>
                <c:pt idx="0">
                  <c:v>0.38043478260869568</c:v>
                </c:pt>
                <c:pt idx="1">
                  <c:v>0.38043478260869568</c:v>
                </c:pt>
                <c:pt idx="2">
                  <c:v>0.38043478260869568</c:v>
                </c:pt>
                <c:pt idx="3">
                  <c:v>0.38043478260869568</c:v>
                </c:pt>
                <c:pt idx="4">
                  <c:v>0.38043478260869568</c:v>
                </c:pt>
                <c:pt idx="5">
                  <c:v>0.38043478260869568</c:v>
                </c:pt>
                <c:pt idx="6">
                  <c:v>0.38043478260869568</c:v>
                </c:pt>
                <c:pt idx="7">
                  <c:v>0.38043478260869568</c:v>
                </c:pt>
                <c:pt idx="8">
                  <c:v>0.38043478260869568</c:v>
                </c:pt>
                <c:pt idx="9">
                  <c:v>0.38043478260869568</c:v>
                </c:pt>
                <c:pt idx="10">
                  <c:v>0.38043478260869568</c:v>
                </c:pt>
                <c:pt idx="11">
                  <c:v>0.38043478260869568</c:v>
                </c:pt>
                <c:pt idx="12">
                  <c:v>0.38043478260869568</c:v>
                </c:pt>
                <c:pt idx="13">
                  <c:v>0.38043478260869568</c:v>
                </c:pt>
                <c:pt idx="14">
                  <c:v>0.38043478260869568</c:v>
                </c:pt>
                <c:pt idx="15">
                  <c:v>0.38043478260869568</c:v>
                </c:pt>
                <c:pt idx="16">
                  <c:v>0.38043478260869568</c:v>
                </c:pt>
                <c:pt idx="17">
                  <c:v>0.38043478260869568</c:v>
                </c:pt>
                <c:pt idx="18">
                  <c:v>0.38043478260869568</c:v>
                </c:pt>
                <c:pt idx="19">
                  <c:v>0.38043478260869568</c:v>
                </c:pt>
                <c:pt idx="20">
                  <c:v>0.38043478260869568</c:v>
                </c:pt>
                <c:pt idx="21">
                  <c:v>0.38043478260869568</c:v>
                </c:pt>
                <c:pt idx="22">
                  <c:v>0.38043478260869568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36-4ADC-850E-A196C1A0B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'29'!$L$6:$L$28</c:f>
              <c:numCache>
                <c:formatCode>_(* #,##0_);_(* \(#,##0\);_(* "-"_);_(@_)</c:formatCode>
                <c:ptCount val="23"/>
                <c:pt idx="0">
                  <c:v>1254</c:v>
                </c:pt>
                <c:pt idx="1">
                  <c:v>2806</c:v>
                </c:pt>
                <c:pt idx="2">
                  <c:v>10180</c:v>
                </c:pt>
                <c:pt idx="3">
                  <c:v>3687</c:v>
                </c:pt>
                <c:pt idx="4">
                  <c:v>5627</c:v>
                </c:pt>
                <c:pt idx="7">
                  <c:v>3502</c:v>
                </c:pt>
                <c:pt idx="8">
                  <c:v>13596</c:v>
                </c:pt>
                <c:pt idx="11">
                  <c:v>402688</c:v>
                </c:pt>
                <c:pt idx="13">
                  <c:v>9940</c:v>
                </c:pt>
                <c:pt idx="14">
                  <c:v>4914</c:v>
                </c:pt>
                <c:pt idx="15">
                  <c:v>21656</c:v>
                </c:pt>
                <c:pt idx="16">
                  <c:v>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9-4BD4-B903-6093BFAAB556}"/>
            </c:ext>
          </c:extLst>
        </c:ser>
        <c:ser>
          <c:idx val="1"/>
          <c:order val="1"/>
          <c:tx>
            <c:v>계획</c:v>
          </c:tx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'29'!$J$6:$J$28</c:f>
              <c:numCache>
                <c:formatCode>_(* #,##0_);_(* \(#,##0\);_(* "-"_);_(@_)</c:formatCode>
                <c:ptCount val="23"/>
                <c:pt idx="0">
                  <c:v>1254</c:v>
                </c:pt>
                <c:pt idx="1">
                  <c:v>2806</c:v>
                </c:pt>
                <c:pt idx="2">
                  <c:v>10180</c:v>
                </c:pt>
                <c:pt idx="3">
                  <c:v>3687</c:v>
                </c:pt>
                <c:pt idx="4">
                  <c:v>5627</c:v>
                </c:pt>
                <c:pt idx="5">
                  <c:v>4228</c:v>
                </c:pt>
                <c:pt idx="6">
                  <c:v>1642</c:v>
                </c:pt>
                <c:pt idx="7">
                  <c:v>3502</c:v>
                </c:pt>
                <c:pt idx="8">
                  <c:v>13596</c:v>
                </c:pt>
                <c:pt idx="9">
                  <c:v>1250</c:v>
                </c:pt>
                <c:pt idx="10">
                  <c:v>76</c:v>
                </c:pt>
                <c:pt idx="11">
                  <c:v>402688</c:v>
                </c:pt>
                <c:pt idx="12">
                  <c:v>4211</c:v>
                </c:pt>
                <c:pt idx="13">
                  <c:v>9940</c:v>
                </c:pt>
                <c:pt idx="14">
                  <c:v>4914</c:v>
                </c:pt>
                <c:pt idx="15">
                  <c:v>21656</c:v>
                </c:pt>
                <c:pt idx="16">
                  <c:v>8901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9-4BD4-B903-6093BFAAB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'29'!$AD$6:$AD$28</c:f>
              <c:strCache>
                <c:ptCount val="23"/>
                <c:pt idx="0">
                  <c:v>17%</c:v>
                </c:pt>
                <c:pt idx="1">
                  <c:v>58%</c:v>
                </c:pt>
                <c:pt idx="2">
                  <c:v>96%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79%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88%</c:v>
                </c:pt>
                <c:pt idx="14">
                  <c:v>42%</c:v>
                </c:pt>
                <c:pt idx="15">
                  <c:v>96%</c:v>
                </c:pt>
                <c:pt idx="16">
                  <c:v>25%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'29'!$AD$6:$AD$28</c:f>
              <c:numCache>
                <c:formatCode>0%</c:formatCode>
                <c:ptCount val="23"/>
                <c:pt idx="0">
                  <c:v>0.16666666666666666</c:v>
                </c:pt>
                <c:pt idx="1">
                  <c:v>0.58333333333333337</c:v>
                </c:pt>
                <c:pt idx="2">
                  <c:v>0.95833333333333337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0.79166666666666663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0.875</c:v>
                </c:pt>
                <c:pt idx="14">
                  <c:v>0.41666666666666669</c:v>
                </c:pt>
                <c:pt idx="15">
                  <c:v>0.95833333333333337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3-4B49-9E17-A561191CC39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33-4B49-9E17-A561191CC39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ADAPTER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'29'!$AE$6:$AE$28</c:f>
              <c:numCache>
                <c:formatCode>0%</c:formatCode>
                <c:ptCount val="23"/>
                <c:pt idx="0">
                  <c:v>0.38043478260869568</c:v>
                </c:pt>
                <c:pt idx="1">
                  <c:v>0.38043478260869568</c:v>
                </c:pt>
                <c:pt idx="2">
                  <c:v>0.38043478260869568</c:v>
                </c:pt>
                <c:pt idx="3">
                  <c:v>0.38043478260869568</c:v>
                </c:pt>
                <c:pt idx="4">
                  <c:v>0.38043478260869568</c:v>
                </c:pt>
                <c:pt idx="5">
                  <c:v>0.38043478260869568</c:v>
                </c:pt>
                <c:pt idx="6">
                  <c:v>0.38043478260869568</c:v>
                </c:pt>
                <c:pt idx="7">
                  <c:v>0.38043478260869568</c:v>
                </c:pt>
                <c:pt idx="8">
                  <c:v>0.38043478260869568</c:v>
                </c:pt>
                <c:pt idx="9">
                  <c:v>0.38043478260869568</c:v>
                </c:pt>
                <c:pt idx="10">
                  <c:v>0.38043478260869568</c:v>
                </c:pt>
                <c:pt idx="11">
                  <c:v>0.38043478260869568</c:v>
                </c:pt>
                <c:pt idx="12">
                  <c:v>0.38043478260869568</c:v>
                </c:pt>
                <c:pt idx="13">
                  <c:v>0.38043478260869568</c:v>
                </c:pt>
                <c:pt idx="14">
                  <c:v>0.38043478260869568</c:v>
                </c:pt>
                <c:pt idx="15">
                  <c:v>0.38043478260869568</c:v>
                </c:pt>
                <c:pt idx="16">
                  <c:v>0.38043478260869568</c:v>
                </c:pt>
                <c:pt idx="17">
                  <c:v>0.38043478260869568</c:v>
                </c:pt>
                <c:pt idx="18">
                  <c:v>0.38043478260869568</c:v>
                </c:pt>
                <c:pt idx="19">
                  <c:v>0.38043478260869568</c:v>
                </c:pt>
                <c:pt idx="20">
                  <c:v>0.38043478260869568</c:v>
                </c:pt>
                <c:pt idx="21">
                  <c:v>0.38043478260869568</c:v>
                </c:pt>
                <c:pt idx="22">
                  <c:v>0.38043478260869568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3-4B49-9E17-A561191C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367-4837-ABE9-D172D7B49D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7-4837-ABE9-D172D7B49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367-4837-ABE9-D172D7B49D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67-4837-ABE9-D172D7B49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5610</c:v>
                </c:pt>
                <c:pt idx="1">
                  <c:v>6066</c:v>
                </c:pt>
                <c:pt idx="2">
                  <c:v>3898</c:v>
                </c:pt>
                <c:pt idx="3">
                  <c:v>5418</c:v>
                </c:pt>
                <c:pt idx="6">
                  <c:v>5153</c:v>
                </c:pt>
                <c:pt idx="7">
                  <c:v>13436</c:v>
                </c:pt>
                <c:pt idx="8">
                  <c:v>714</c:v>
                </c:pt>
                <c:pt idx="12">
                  <c:v>10864</c:v>
                </c:pt>
                <c:pt idx="13">
                  <c:v>5257</c:v>
                </c:pt>
                <c:pt idx="14">
                  <c:v>19860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5-4236-B837-5F3CA07F4CCC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5610</c:v>
                </c:pt>
                <c:pt idx="1">
                  <c:v>6033</c:v>
                </c:pt>
                <c:pt idx="2">
                  <c:v>3898</c:v>
                </c:pt>
                <c:pt idx="3">
                  <c:v>5418</c:v>
                </c:pt>
                <c:pt idx="4">
                  <c:v>4228</c:v>
                </c:pt>
                <c:pt idx="5">
                  <c:v>1642</c:v>
                </c:pt>
                <c:pt idx="6">
                  <c:v>5153</c:v>
                </c:pt>
                <c:pt idx="7">
                  <c:v>13436</c:v>
                </c:pt>
                <c:pt idx="8">
                  <c:v>714</c:v>
                </c:pt>
                <c:pt idx="9">
                  <c:v>76</c:v>
                </c:pt>
                <c:pt idx="10">
                  <c:v>402688</c:v>
                </c:pt>
                <c:pt idx="11">
                  <c:v>4211</c:v>
                </c:pt>
                <c:pt idx="12">
                  <c:v>10864</c:v>
                </c:pt>
                <c:pt idx="13">
                  <c:v>5257</c:v>
                </c:pt>
                <c:pt idx="14">
                  <c:v>19860</c:v>
                </c:pt>
                <c:pt idx="15">
                  <c:v>8901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5-4236-B837-5F3CA07F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100%</c:v>
                </c:pt>
                <c:pt idx="1">
                  <c:v>54%</c:v>
                </c:pt>
                <c:pt idx="2">
                  <c:v>83%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88%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1</c:v>
                </c:pt>
                <c:pt idx="1">
                  <c:v>0.54462953754351073</c:v>
                </c:pt>
                <c:pt idx="2">
                  <c:v>0.83333333333333337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0.875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6-4C4D-9F5E-AA40263059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D6-4C4D-9F5E-AA40263059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0.38839225170652319</c:v>
                </c:pt>
                <c:pt idx="1">
                  <c:v>0.38839225170652319</c:v>
                </c:pt>
                <c:pt idx="2">
                  <c:v>0.38839225170652319</c:v>
                </c:pt>
                <c:pt idx="3">
                  <c:v>0.38839225170652319</c:v>
                </c:pt>
                <c:pt idx="4">
                  <c:v>0.38839225170652319</c:v>
                </c:pt>
                <c:pt idx="5">
                  <c:v>0.38839225170652319</c:v>
                </c:pt>
                <c:pt idx="6">
                  <c:v>0.38839225170652319</c:v>
                </c:pt>
                <c:pt idx="7">
                  <c:v>0.38839225170652319</c:v>
                </c:pt>
                <c:pt idx="8">
                  <c:v>0.38839225170652319</c:v>
                </c:pt>
                <c:pt idx="9">
                  <c:v>0.38839225170652319</c:v>
                </c:pt>
                <c:pt idx="10">
                  <c:v>0.38839225170652319</c:v>
                </c:pt>
                <c:pt idx="11">
                  <c:v>0.38839225170652319</c:v>
                </c:pt>
                <c:pt idx="12">
                  <c:v>0.38839225170652319</c:v>
                </c:pt>
                <c:pt idx="13">
                  <c:v>0.38839225170652319</c:v>
                </c:pt>
                <c:pt idx="14">
                  <c:v>0.38839225170652319</c:v>
                </c:pt>
                <c:pt idx="15">
                  <c:v>0.38839225170652319</c:v>
                </c:pt>
                <c:pt idx="16">
                  <c:v>0.38839225170652319</c:v>
                </c:pt>
                <c:pt idx="17">
                  <c:v>0.38839225170652319</c:v>
                </c:pt>
                <c:pt idx="18">
                  <c:v>0.38839225170652319</c:v>
                </c:pt>
                <c:pt idx="19">
                  <c:v>0.38839225170652319</c:v>
                </c:pt>
                <c:pt idx="20">
                  <c:v>0.38839225170652319</c:v>
                </c:pt>
                <c:pt idx="21">
                  <c:v>0.38839225170652319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D6-4C4D-9F5E-AA4026305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5610</c:v>
                </c:pt>
                <c:pt idx="1">
                  <c:v>6066</c:v>
                </c:pt>
                <c:pt idx="2">
                  <c:v>3898</c:v>
                </c:pt>
                <c:pt idx="3">
                  <c:v>5418</c:v>
                </c:pt>
                <c:pt idx="6">
                  <c:v>5153</c:v>
                </c:pt>
                <c:pt idx="7">
                  <c:v>13436</c:v>
                </c:pt>
                <c:pt idx="8">
                  <c:v>714</c:v>
                </c:pt>
                <c:pt idx="12">
                  <c:v>10864</c:v>
                </c:pt>
                <c:pt idx="13">
                  <c:v>5257</c:v>
                </c:pt>
                <c:pt idx="14">
                  <c:v>19860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2-4A1E-94DB-245019DF7588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5610</c:v>
                </c:pt>
                <c:pt idx="1">
                  <c:v>6033</c:v>
                </c:pt>
                <c:pt idx="2">
                  <c:v>3898</c:v>
                </c:pt>
                <c:pt idx="3">
                  <c:v>5418</c:v>
                </c:pt>
                <c:pt idx="4">
                  <c:v>4228</c:v>
                </c:pt>
                <c:pt idx="5">
                  <c:v>1642</c:v>
                </c:pt>
                <c:pt idx="6">
                  <c:v>5153</c:v>
                </c:pt>
                <c:pt idx="7">
                  <c:v>13436</c:v>
                </c:pt>
                <c:pt idx="8">
                  <c:v>714</c:v>
                </c:pt>
                <c:pt idx="9">
                  <c:v>76</c:v>
                </c:pt>
                <c:pt idx="10">
                  <c:v>402688</c:v>
                </c:pt>
                <c:pt idx="11">
                  <c:v>4211</c:v>
                </c:pt>
                <c:pt idx="12">
                  <c:v>10864</c:v>
                </c:pt>
                <c:pt idx="13">
                  <c:v>5257</c:v>
                </c:pt>
                <c:pt idx="14">
                  <c:v>19860</c:v>
                </c:pt>
                <c:pt idx="15">
                  <c:v>8901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2-4A1E-94DB-245019DF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100%</c:v>
                </c:pt>
                <c:pt idx="1">
                  <c:v>54%</c:v>
                </c:pt>
                <c:pt idx="2">
                  <c:v>83%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88%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1</c:v>
                </c:pt>
                <c:pt idx="1">
                  <c:v>0.54462953754351073</c:v>
                </c:pt>
                <c:pt idx="2">
                  <c:v>0.83333333333333337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0.875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D-4A26-94C3-4BEAF9F848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3D-4A26-94C3-4BEAF9F848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BOTTOM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0.38839225170652319</c:v>
                </c:pt>
                <c:pt idx="1">
                  <c:v>0.38839225170652319</c:v>
                </c:pt>
                <c:pt idx="2">
                  <c:v>0.38839225170652319</c:v>
                </c:pt>
                <c:pt idx="3">
                  <c:v>0.38839225170652319</c:v>
                </c:pt>
                <c:pt idx="4">
                  <c:v>0.38839225170652319</c:v>
                </c:pt>
                <c:pt idx="5">
                  <c:v>0.38839225170652319</c:v>
                </c:pt>
                <c:pt idx="6">
                  <c:v>0.38839225170652319</c:v>
                </c:pt>
                <c:pt idx="7">
                  <c:v>0.38839225170652319</c:v>
                </c:pt>
                <c:pt idx="8">
                  <c:v>0.38839225170652319</c:v>
                </c:pt>
                <c:pt idx="9">
                  <c:v>0.38839225170652319</c:v>
                </c:pt>
                <c:pt idx="10">
                  <c:v>0.38839225170652319</c:v>
                </c:pt>
                <c:pt idx="11">
                  <c:v>0.38839225170652319</c:v>
                </c:pt>
                <c:pt idx="12">
                  <c:v>0.38839225170652319</c:v>
                </c:pt>
                <c:pt idx="13">
                  <c:v>0.38839225170652319</c:v>
                </c:pt>
                <c:pt idx="14">
                  <c:v>0.38839225170652319</c:v>
                </c:pt>
                <c:pt idx="15">
                  <c:v>0.38839225170652319</c:v>
                </c:pt>
                <c:pt idx="16">
                  <c:v>0.38839225170652319</c:v>
                </c:pt>
                <c:pt idx="17">
                  <c:v>0.38839225170652319</c:v>
                </c:pt>
                <c:pt idx="18">
                  <c:v>0.38839225170652319</c:v>
                </c:pt>
                <c:pt idx="19">
                  <c:v>0.38839225170652319</c:v>
                </c:pt>
                <c:pt idx="20">
                  <c:v>0.38839225170652319</c:v>
                </c:pt>
                <c:pt idx="21">
                  <c:v>0.38839225170652319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3D-4A26-94C3-4BEAF9F84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732-4634-8588-B77686CAAC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2-4634-8588-B77686CA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732-4634-8588-B77686CAAC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32-4634-8588-B77686CA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07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0.27898550724637677</c:v>
                </c:pt>
                <c:pt idx="1">
                  <c:v>0.42753623188405798</c:v>
                </c:pt>
                <c:pt idx="4">
                  <c:v>0.47348484848484845</c:v>
                </c:pt>
                <c:pt idx="5">
                  <c:v>0.33876811594202905</c:v>
                </c:pt>
                <c:pt idx="6">
                  <c:v>0.26893939393939398</c:v>
                </c:pt>
                <c:pt idx="7">
                  <c:v>0.29734848484848486</c:v>
                </c:pt>
                <c:pt idx="8">
                  <c:v>0.30072463768115942</c:v>
                </c:pt>
                <c:pt idx="11">
                  <c:v>0.27504566350613635</c:v>
                </c:pt>
                <c:pt idx="12">
                  <c:v>0.27272727272727271</c:v>
                </c:pt>
                <c:pt idx="13">
                  <c:v>0.44886363636363635</c:v>
                </c:pt>
                <c:pt idx="14">
                  <c:v>0.375</c:v>
                </c:pt>
                <c:pt idx="15">
                  <c:v>0.41666666666666674</c:v>
                </c:pt>
                <c:pt idx="18">
                  <c:v>0.18659420289855075</c:v>
                </c:pt>
                <c:pt idx="19">
                  <c:v>0.32765151515151519</c:v>
                </c:pt>
                <c:pt idx="20">
                  <c:v>0.375</c:v>
                </c:pt>
                <c:pt idx="21">
                  <c:v>0.36594202898550721</c:v>
                </c:pt>
                <c:pt idx="22">
                  <c:v>0.2952898550724638</c:v>
                </c:pt>
                <c:pt idx="25">
                  <c:v>0.40530303030303028</c:v>
                </c:pt>
                <c:pt idx="26">
                  <c:v>0.53442028985507239</c:v>
                </c:pt>
                <c:pt idx="27">
                  <c:v>0.46053308631824036</c:v>
                </c:pt>
                <c:pt idx="28">
                  <c:v>0.38043478260869568</c:v>
                </c:pt>
                <c:pt idx="29">
                  <c:v>0.38839225170652319</c:v>
                </c:pt>
                <c:pt idx="31">
                  <c:v>0.25463391942547292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07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총괄!$A$3:$A$24</c:f>
              <c:strCache>
                <c:ptCount val="22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  <c:pt idx="16">
                  <c:v>31호기</c:v>
                </c:pt>
                <c:pt idx="17">
                  <c:v>32호기</c:v>
                </c:pt>
                <c:pt idx="18">
                  <c:v>33호기</c:v>
                </c:pt>
                <c:pt idx="19">
                  <c:v>34호기</c:v>
                </c:pt>
                <c:pt idx="20">
                  <c:v>35호기</c:v>
                </c:pt>
                <c:pt idx="21">
                  <c:v>36호기</c:v>
                </c:pt>
              </c:strCache>
            </c:strRef>
          </c:cat>
          <c:val>
            <c:numRef>
              <c:f>총괄!$AG$3:$AG$24</c:f>
              <c:numCache>
                <c:formatCode>0%</c:formatCode>
                <c:ptCount val="22"/>
                <c:pt idx="0">
                  <c:v>0.43010752688172044</c:v>
                </c:pt>
                <c:pt idx="1">
                  <c:v>0.45977299583473691</c:v>
                </c:pt>
                <c:pt idx="2">
                  <c:v>0.42741935483870969</c:v>
                </c:pt>
                <c:pt idx="3">
                  <c:v>0.47849462365591394</c:v>
                </c:pt>
                <c:pt idx="4">
                  <c:v>0.15053763440860213</c:v>
                </c:pt>
                <c:pt idx="5">
                  <c:v>0.16397849462365591</c:v>
                </c:pt>
                <c:pt idx="6">
                  <c:v>0.54704301075268824</c:v>
                </c:pt>
                <c:pt idx="7">
                  <c:v>0.49327956989247318</c:v>
                </c:pt>
                <c:pt idx="8">
                  <c:v>9.139784946236558E-2</c:v>
                </c:pt>
                <c:pt idx="9">
                  <c:v>0</c:v>
                </c:pt>
                <c:pt idx="10">
                  <c:v>0.43413978494623656</c:v>
                </c:pt>
                <c:pt idx="11">
                  <c:v>0.20698924731182794</c:v>
                </c:pt>
                <c:pt idx="12">
                  <c:v>0.41129032258064518</c:v>
                </c:pt>
                <c:pt idx="13">
                  <c:v>0.25268817204301081</c:v>
                </c:pt>
                <c:pt idx="14">
                  <c:v>0.58094638485381711</c:v>
                </c:pt>
                <c:pt idx="15">
                  <c:v>0.26209677419354838</c:v>
                </c:pt>
                <c:pt idx="16">
                  <c:v>0</c:v>
                </c:pt>
                <c:pt idx="17">
                  <c:v>0</c:v>
                </c:pt>
                <c:pt idx="18">
                  <c:v>8.7975027642559905E-2</c:v>
                </c:pt>
                <c:pt idx="19">
                  <c:v>8.3179884182043723E-2</c:v>
                </c:pt>
                <c:pt idx="20">
                  <c:v>8.2149675631496943E-2</c:v>
                </c:pt>
                <c:pt idx="21">
                  <c:v>8.569307873700252E-2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2.xml"/><Relationship Id="rId1" Type="http://schemas.openxmlformats.org/officeDocument/2006/relationships/chart" Target="../charts/chart1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2317E8-550E-475B-BEE2-3FA8E3A2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CC14A45-6A0C-4F22-96FC-F6C36E652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95DE478-7A93-4B5C-B828-BA541F957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C4EC865-D9D5-4F08-9EA4-FC4DDF7A9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6D2A8E1-242D-4EB2-9079-56E2CB95E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3292A6D-E918-4722-9BDA-EB02E8903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F03E480-33DA-446A-A60F-CEFD22BC8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8026EE3-5895-4282-B583-ECDEDDE59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F3712FB-6D26-4A4B-B60A-0B66CFC5A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3B4F992-9AD4-4000-8CCB-E4237FE30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48BDFBC-2932-4DE1-A709-EB099FB5E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CD2F14C-1E31-4C54-8818-351CE9089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30FEB9D-E872-44C9-B5C6-4D910F22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AC6FAE0-5F05-4FDE-8B8A-EB849C82E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29A063-097C-4DF0-BB31-5B177BAD5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38463A5-07AB-4E7D-9693-EF81D2FA7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1BEBB0C-68DA-4B38-B471-A0B3DC8E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DCABB27-F414-4D51-B2D5-2D6202E9B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2A282EF-7FE1-4348-A1D6-066C0ECD7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D61AD7E-36B2-41C9-A2C0-4BBEF21FD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BE7DFEF-3E44-47BA-8A96-30027B251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BB1D5CB-38CB-488E-8766-4F076FDA5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A3415F3-A8E3-4471-A123-23AFDBEFB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EA2B517-6887-4844-A568-B7993D04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A420F47-B73D-4C77-9EEB-978547657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319446C-6DFE-4BE4-8D32-D2EFF3A87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65D65B6-1E0A-4138-B886-7E274A3B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BC1751F-0E7B-41CA-B5F6-C9DA8B3F0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A81447B-63CE-44B4-A2CA-BEC0CE2F1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4158EE7-A84F-48AD-8C29-11A941697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4C13402-E2B5-4F5F-BC60-25B29015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3C2BB9F-2038-48E0-A5AE-7043D327E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7CE4225-F128-41C9-930A-FF401DDF0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B4F19D5-31A0-4575-BC09-00AE1D322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E4B2994-93AF-4F16-91DE-B9838ACAE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8FBD23E-2FF4-498B-B04E-B347D2062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E36F110-DD7C-4D8D-9CDB-602AC592D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4CBDD8A-5601-4A9B-8CD6-2A0C09B1C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2D4326D-359D-4242-B081-B2E75B057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7EC7A5A-EB61-4F02-9B47-41CAEEB1C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FD4B1DF-35F0-4830-A63F-7455CC2F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A266A39-CF69-4E52-ACB6-9C6621A23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309694-9094-4492-B9F0-8946D931C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37298CE-4629-4947-9805-971026C68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290ADD7-6FAF-458E-A918-2A3FA17C3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71044F6-0AFD-41C0-B10D-74E87C6D6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E6B1EF5-F96A-4DCE-8E57-BFECDD4AB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3B36E4A-F8D3-42A6-9226-75293286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C56211C-36F9-4B49-BF48-2845A0EEB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0AE7E0C-34C1-466F-8A65-7019524FA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F55D37A-5F29-488B-814C-F3F07FC68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88ACC60-BD8A-4A81-B6A6-91E17F55D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D0BDC97-AF1C-4439-B387-D93CA642E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0CA7726-F504-4133-A2EE-19B3C35EF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318821B-856A-43B5-BDA9-1FE191E8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2CA0FF7-FD1E-4C4A-AB67-2EF55429E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0C9D20B-6F2F-4037-8B9B-957DD1791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CE5BF38-79C6-4682-BD96-CAEEEF0D1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A6A355E-9CB4-4DD8-88A9-CD66207C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FC1A69E-0AB8-4549-AB9F-C1D0FC3AC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09EEAB3-2C9C-4CC2-A561-4355BFB21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6784515-A944-4F7A-802C-73CF326E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1640558-5619-47C8-849E-E468432E1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552F89C-7A83-4512-9781-DE6C700C8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D6B8BCC-11B7-40E9-B579-4593954C7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A6FFEE4-C6EA-4CC4-A094-8EA652E8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72BBA3D-38B5-4B26-A7E2-4885E7612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4443D81-9450-4EA0-B231-1570327BF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C642761-CFFC-450F-9E97-8B8758A2A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BABE898-55A5-4B01-B639-7E8FCE38C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15CEE78-5797-41BF-BA5A-18DDCBF76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3618C08-24A1-4B21-8C5C-252AE53C2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8474398-7A4E-4086-81FC-73451474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EBE758A-8479-41F7-AE75-7A2211071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16C490B-E90B-4FE9-B3FF-3F02B5D11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5F0E6CD-E3A4-4D01-ABFC-1C82E0BD2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9D985A9-C2AB-451D-AF9E-5256D6DBC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D27272-A0C1-4C4E-8D91-64A582177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6B4FED-8D2D-490A-B569-97A64BB1C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0F70B2A-590F-4D41-AD41-1D1C0B092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62D44A0-7593-4E42-A614-6E0D1C53A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32FD1CA-FA6F-46C3-81F2-381974E56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6419446-4EFA-4BC6-8D44-5B4B87B9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15469D8-C028-42DD-BBBC-289495644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06CE844-CCD8-4C00-9C0D-1E0419BB2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3C1F22F-282C-4527-9156-0996E17B4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4D9140E-2F20-42C9-A5A0-5D0EDFB5A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1799A55-FE55-4ABD-9543-5DC510C58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67D4AB6-2CFE-4A1C-BAC2-5C3430E09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5013E49-CFC9-42D1-B90A-0E84E69B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8E32EF8-72AC-4078-BDD9-AB665B497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082F84-4F06-49CF-8729-F8218691E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5FC4422-E0EE-4BDA-AD90-F47959834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C7CE056-6E3B-4688-8D36-BCECF280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C531482-C69B-4F40-A194-471DEEC38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4ACC9F5-31C9-498B-A050-59F14CFB8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BA7C354-D107-4BD8-B0A6-C338FC4D5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54DEAB0-23EF-4905-91AB-3BF9FCACE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4DC4916-84A3-4C8E-93DB-D89AE05DA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FA0E104-BCF9-4F69-A664-763A5E764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C2744B6-2B55-4EC5-AADB-D3721C43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2BB59BB-D5DE-432B-9DB7-E607841D4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985E3E8-7717-4226-B04F-B4BE3682D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EBA2727-ED16-4913-A307-F250DCE49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1DC9912-5C43-4011-AC3E-E7E3EF42F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74F9CEA-92A3-4DD2-9495-7D7E6D29B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E04A69-175B-4C64-9E63-25E54D8F0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4EFDC6D-B155-4203-9728-2297F6DF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C4DE19E-FFBA-4D5C-8939-ABF72E1F5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5245E2D-1FB0-43E5-9372-24C6E9F43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640F4A0-6FF3-4681-8EE2-D65BAFD93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9B53560-C405-4F00-98F8-DE87739C8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7A493B-8330-4790-9D73-2264BB193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111023A-16B7-4CE1-9E0F-399BDCCF6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1DB6EF6-67CD-406C-8EE3-7F0F27D4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B75040-DFF7-4013-BE25-C0B38FDE8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BD39602-F0F8-4EB4-8F03-A78B48E48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AA33D7D-087C-416F-8F0D-74CA3EA75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C1FD440-C4EC-4B5F-B9AE-9B0879262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628DA67-FD7B-49E6-B392-A2E8F93DD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6C51C3F-5244-4A45-A86A-9D6235C52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2BF467B-991D-4C1D-B689-90B985194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CE5FA2B-ADB1-4B83-962A-089788192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9783FD4-C0E3-4D47-8498-1AC7329CF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826E63F-99DA-49A2-B60B-4EF0873A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C9983CD-772F-4ACD-BD5E-B4DB38CE1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E00C495-1B2E-4482-AE9A-0ABE3C504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B7F80E0-2B83-4ECD-A3B5-58FCE3267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5D693DE-6ED0-40D7-8E75-F5460A384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84E2080-5759-43A4-8D2A-EE16B7F4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7BA6D7E-C465-4A9D-8340-A2A56EE8F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C34F9ED-D0C4-4503-937F-13B95000C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75DDD15-3222-4EF4-B08E-71E73220C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55A8353-4CA5-45F9-9D66-BF3E6D0AF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745DD4-F545-48F7-B3A4-A44E8B88A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95D0D7D-0612-42EE-9754-E6C9FF19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B8E2AA2-5CEF-46AC-B0BA-D30EEC06B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8DA8D63-72F6-4A1A-AA0A-118765D48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51DBA93-440B-4EB1-AF50-2DAEB06E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83B8200-3E8F-4091-A45A-8EBEEB06C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50D413-DAD4-490F-AE04-CC1C0F877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571B426-A455-42A0-8515-2B3C568D2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65377EB-1843-437E-A7A6-F183A95A3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00AD97B-3158-4E35-833B-FB0F7B8C9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563607E-DBAA-4D9E-9A2B-080EDAA66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4292B29-4BD8-4194-BA35-71114D62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3ADC1E5-3930-4636-B6F0-9C2158101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653B1B-A522-4600-9A0E-4A3D4011B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41B02DB-819E-474C-BE78-0F8269FA2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3952BBC-B3C6-438E-B81F-3D316BCE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B1388D5-346F-4B86-8EBE-7591546C0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34E370D-7398-4E63-9BA7-4E90D6121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0A77214-040D-4229-88A9-67EED335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917DA19-4751-4FC2-86C3-498EAEEDC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104775</xdr:rowOff>
    </xdr:from>
    <xdr:to>
      <xdr:col>16</xdr:col>
      <xdr:colOff>66675</xdr:colOff>
      <xdr:row>38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26</xdr:row>
      <xdr:rowOff>123825</xdr:rowOff>
    </xdr:from>
    <xdr:to>
      <xdr:col>32</xdr:col>
      <xdr:colOff>371474</xdr:colOff>
      <xdr:row>38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55AE-A37B-488F-97D7-3913645D1350}">
  <sheetPr codeName="Sheet2">
    <pageSetUpPr fitToPage="1"/>
  </sheetPr>
  <dimension ref="A1:AF94"/>
  <sheetViews>
    <sheetView view="pageBreakPreview" zoomScale="70" zoomScaleNormal="72" zoomScaleSheetLayoutView="70" workbookViewId="0">
      <selection activeCell="F85" sqref="F85:J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175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121" t="s">
        <v>17</v>
      </c>
      <c r="L5" s="121" t="s">
        <v>18</v>
      </c>
      <c r="M5" s="121" t="s">
        <v>19</v>
      </c>
      <c r="N5" s="12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167</v>
      </c>
      <c r="F6" s="30" t="s">
        <v>153</v>
      </c>
      <c r="G6" s="12">
        <v>1</v>
      </c>
      <c r="H6" s="13">
        <v>24</v>
      </c>
      <c r="I6" s="31">
        <v>5000</v>
      </c>
      <c r="J6" s="14">
        <v>3493</v>
      </c>
      <c r="K6" s="15">
        <f>L6+2483</f>
        <v>5976</v>
      </c>
      <c r="L6" s="15">
        <f>3244+249</f>
        <v>3493</v>
      </c>
      <c r="M6" s="15">
        <f t="shared" ref="M6:M7" si="0">L6-N6</f>
        <v>3493</v>
      </c>
      <c r="N6" s="15">
        <v>0</v>
      </c>
      <c r="O6" s="58">
        <f t="shared" ref="O6:O7" si="1">IF(L6=0,"0",N6/L6)</f>
        <v>0</v>
      </c>
      <c r="P6" s="39">
        <f t="shared" ref="P6:P7" si="2">IF(L6=0,"0",(24-Q6))</f>
        <v>15</v>
      </c>
      <c r="Q6" s="40">
        <f t="shared" ref="Q6:Q7" si="3">SUM(R6:AA6)</f>
        <v>9</v>
      </c>
      <c r="R6" s="7"/>
      <c r="S6" s="6"/>
      <c r="T6" s="16"/>
      <c r="U6" s="16"/>
      <c r="V6" s="17"/>
      <c r="W6" s="5">
        <v>9</v>
      </c>
      <c r="X6" s="16"/>
      <c r="Y6" s="16"/>
      <c r="Z6" s="16"/>
      <c r="AA6" s="18"/>
      <c r="AB6" s="8">
        <f t="shared" ref="AB6:AB7" si="4">IF(J6=0,"0",(L6/J6))</f>
        <v>1</v>
      </c>
      <c r="AC6" s="9">
        <f t="shared" ref="AC6:AC7" si="5">IF(P6=0,"0",(P6/24))</f>
        <v>0.625</v>
      </c>
      <c r="AD6" s="10">
        <f t="shared" ref="AD6:AD7" si="6">AC6*AB6*(1-O6)</f>
        <v>0.625</v>
      </c>
      <c r="AE6" s="36">
        <f t="shared" ref="AE6:AE28" si="7">$AD$29</f>
        <v>0.27898550724637677</v>
      </c>
      <c r="AF6" s="84">
        <f t="shared" ref="AF6:AF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155</v>
      </c>
      <c r="E7" s="53" t="s">
        <v>176</v>
      </c>
      <c r="F7" s="30" t="s">
        <v>156</v>
      </c>
      <c r="G7" s="12">
        <v>1</v>
      </c>
      <c r="H7" s="13">
        <v>24</v>
      </c>
      <c r="I7" s="31">
        <v>500</v>
      </c>
      <c r="J7" s="14">
        <v>500</v>
      </c>
      <c r="K7" s="15">
        <f>L7</f>
        <v>500</v>
      </c>
      <c r="L7" s="15">
        <v>500</v>
      </c>
      <c r="M7" s="15">
        <f t="shared" si="0"/>
        <v>500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/>
      <c r="T7" s="16"/>
      <c r="U7" s="16"/>
      <c r="V7" s="17"/>
      <c r="W7" s="5">
        <v>20</v>
      </c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0.27898550724637677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116</v>
      </c>
      <c r="D8" s="52" t="s">
        <v>155</v>
      </c>
      <c r="E8" s="53" t="s">
        <v>177</v>
      </c>
      <c r="F8" s="30" t="s">
        <v>178</v>
      </c>
      <c r="G8" s="12">
        <v>1</v>
      </c>
      <c r="H8" s="13">
        <v>24</v>
      </c>
      <c r="I8" s="31">
        <v>1500</v>
      </c>
      <c r="J8" s="14">
        <v>1802</v>
      </c>
      <c r="K8" s="15">
        <f>L8</f>
        <v>1802</v>
      </c>
      <c r="L8" s="15">
        <v>1802</v>
      </c>
      <c r="M8" s="15">
        <f t="shared" ref="M8:M28" si="9">L8-N8</f>
        <v>1802</v>
      </c>
      <c r="N8" s="15">
        <v>0</v>
      </c>
      <c r="O8" s="58">
        <f t="shared" ref="O8:O29" si="10">IF(L8=0,"0",N8/L8)</f>
        <v>0</v>
      </c>
      <c r="P8" s="39">
        <f t="shared" ref="P8:P28" si="11">IF(L8=0,"0",(24-Q8))</f>
        <v>12</v>
      </c>
      <c r="Q8" s="40">
        <f t="shared" ref="Q8:Q28" si="12">SUM(R8:AA8)</f>
        <v>12</v>
      </c>
      <c r="R8" s="7"/>
      <c r="S8" s="6"/>
      <c r="T8" s="16">
        <v>12</v>
      </c>
      <c r="U8" s="16"/>
      <c r="V8" s="17"/>
      <c r="W8" s="5"/>
      <c r="X8" s="16"/>
      <c r="Y8" s="16"/>
      <c r="Z8" s="16"/>
      <c r="AA8" s="18"/>
      <c r="AB8" s="8">
        <f t="shared" ref="AB8:AB28" si="13">IF(J8=0,"0",(L8/J8))</f>
        <v>1</v>
      </c>
      <c r="AC8" s="9">
        <f t="shared" ref="AC8:AC28" si="14">IF(P8=0,"0",(P8/24))</f>
        <v>0.5</v>
      </c>
      <c r="AD8" s="10">
        <f t="shared" ref="AD8:AD28" si="15">AC8*AB8*(1-O8)</f>
        <v>0.5</v>
      </c>
      <c r="AE8" s="36">
        <f t="shared" si="7"/>
        <v>0.27898550724637677</v>
      </c>
      <c r="AF8" s="84">
        <f t="shared" ref="AF8:AF28" si="16">A8</f>
        <v>2</v>
      </c>
    </row>
    <row r="9" spans="1:32" ht="27" customHeight="1">
      <c r="A9" s="112">
        <v>3</v>
      </c>
      <c r="B9" s="11" t="s">
        <v>57</v>
      </c>
      <c r="C9" s="34" t="s">
        <v>130</v>
      </c>
      <c r="D9" s="52" t="s">
        <v>115</v>
      </c>
      <c r="E9" s="53" t="s">
        <v>160</v>
      </c>
      <c r="F9" s="30" t="s">
        <v>131</v>
      </c>
      <c r="G9" s="12">
        <v>2</v>
      </c>
      <c r="H9" s="13">
        <v>24</v>
      </c>
      <c r="I9" s="7">
        <v>20000</v>
      </c>
      <c r="J9" s="14">
        <v>12072</v>
      </c>
      <c r="K9" s="15">
        <f>L9+11212+10752+12072</f>
        <v>34036</v>
      </c>
      <c r="L9" s="15"/>
      <c r="M9" s="15">
        <f t="shared" si="9"/>
        <v>0</v>
      </c>
      <c r="N9" s="15">
        <v>0</v>
      </c>
      <c r="O9" s="58" t="str">
        <f t="shared" si="10"/>
        <v>0</v>
      </c>
      <c r="P9" s="39" t="str">
        <f t="shared" si="11"/>
        <v>0</v>
      </c>
      <c r="Q9" s="40">
        <f t="shared" si="12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13"/>
        <v>0</v>
      </c>
      <c r="AC9" s="9">
        <f t="shared" si="14"/>
        <v>0</v>
      </c>
      <c r="AD9" s="10">
        <f t="shared" si="15"/>
        <v>0</v>
      </c>
      <c r="AE9" s="36">
        <f t="shared" si="7"/>
        <v>0.27898550724637677</v>
      </c>
      <c r="AF9" s="84">
        <f t="shared" si="16"/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155</v>
      </c>
      <c r="E10" s="53" t="s">
        <v>163</v>
      </c>
      <c r="F10" s="30" t="s">
        <v>124</v>
      </c>
      <c r="G10" s="12">
        <v>1</v>
      </c>
      <c r="H10" s="13">
        <v>24</v>
      </c>
      <c r="I10" s="7">
        <v>1500</v>
      </c>
      <c r="J10" s="14">
        <v>5029</v>
      </c>
      <c r="K10" s="15">
        <f>L10+2933+5029</f>
        <v>7962</v>
      </c>
      <c r="L10" s="15"/>
      <c r="M10" s="15">
        <f t="shared" si="9"/>
        <v>0</v>
      </c>
      <c r="N10" s="15">
        <v>0</v>
      </c>
      <c r="O10" s="58" t="str">
        <f t="shared" si="10"/>
        <v>0</v>
      </c>
      <c r="P10" s="39" t="str">
        <f t="shared" si="11"/>
        <v>0</v>
      </c>
      <c r="Q10" s="40">
        <f t="shared" si="12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13"/>
        <v>0</v>
      </c>
      <c r="AC10" s="9">
        <f t="shared" si="14"/>
        <v>0</v>
      </c>
      <c r="AD10" s="10">
        <f t="shared" si="15"/>
        <v>0</v>
      </c>
      <c r="AE10" s="36">
        <f t="shared" si="7"/>
        <v>0.27898550724637677</v>
      </c>
      <c r="AF10" s="84">
        <f t="shared" si="16"/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157</v>
      </c>
      <c r="E11" s="53" t="s">
        <v>170</v>
      </c>
      <c r="F11" s="30" t="s">
        <v>132</v>
      </c>
      <c r="G11" s="33">
        <v>2</v>
      </c>
      <c r="H11" s="35">
        <v>24</v>
      </c>
      <c r="I11" s="7">
        <v>10000</v>
      </c>
      <c r="J11" s="14">
        <v>7702</v>
      </c>
      <c r="K11" s="15">
        <f>L11+7314</f>
        <v>15016</v>
      </c>
      <c r="L11" s="15">
        <f>3262*2+589*2</f>
        <v>7702</v>
      </c>
      <c r="M11" s="15">
        <f t="shared" si="9"/>
        <v>7702</v>
      </c>
      <c r="N11" s="15">
        <v>0</v>
      </c>
      <c r="O11" s="58">
        <f t="shared" si="10"/>
        <v>0</v>
      </c>
      <c r="P11" s="39">
        <f t="shared" si="11"/>
        <v>16</v>
      </c>
      <c r="Q11" s="40">
        <f t="shared" si="12"/>
        <v>8</v>
      </c>
      <c r="R11" s="7"/>
      <c r="S11" s="6"/>
      <c r="T11" s="16"/>
      <c r="U11" s="16"/>
      <c r="V11" s="17"/>
      <c r="W11" s="5">
        <v>8</v>
      </c>
      <c r="X11" s="16"/>
      <c r="Y11" s="16"/>
      <c r="Z11" s="16"/>
      <c r="AA11" s="18"/>
      <c r="AB11" s="8">
        <f t="shared" si="13"/>
        <v>1</v>
      </c>
      <c r="AC11" s="9">
        <f t="shared" si="14"/>
        <v>0.66666666666666663</v>
      </c>
      <c r="AD11" s="10">
        <f t="shared" si="15"/>
        <v>0.66666666666666663</v>
      </c>
      <c r="AE11" s="36">
        <f t="shared" si="7"/>
        <v>0.27898550724637677</v>
      </c>
      <c r="AF11" s="84">
        <f t="shared" si="16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121</v>
      </c>
      <c r="E12" s="53" t="s">
        <v>168</v>
      </c>
      <c r="F12" s="30" t="s">
        <v>132</v>
      </c>
      <c r="G12" s="33">
        <v>1</v>
      </c>
      <c r="H12" s="35">
        <v>24</v>
      </c>
      <c r="I12" s="7">
        <v>4000</v>
      </c>
      <c r="J12" s="14">
        <v>2001</v>
      </c>
      <c r="K12" s="15">
        <f>L12+2816+2001</f>
        <v>4817</v>
      </c>
      <c r="L12" s="15"/>
      <c r="M12" s="15">
        <f t="shared" si="9"/>
        <v>0</v>
      </c>
      <c r="N12" s="15">
        <v>0</v>
      </c>
      <c r="O12" s="58" t="str">
        <f t="shared" si="10"/>
        <v>0</v>
      </c>
      <c r="P12" s="39" t="str">
        <f t="shared" si="11"/>
        <v>0</v>
      </c>
      <c r="Q12" s="40">
        <f t="shared" si="12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13"/>
        <v>0</v>
      </c>
      <c r="AC12" s="9">
        <f t="shared" si="14"/>
        <v>0</v>
      </c>
      <c r="AD12" s="10">
        <f t="shared" si="15"/>
        <v>0</v>
      </c>
      <c r="AE12" s="36">
        <f t="shared" si="7"/>
        <v>0.27898550724637677</v>
      </c>
      <c r="AF12" s="84">
        <f t="shared" si="16"/>
        <v>6</v>
      </c>
    </row>
    <row r="13" spans="1:32" ht="27" customHeight="1">
      <c r="A13" s="96">
        <v>7</v>
      </c>
      <c r="B13" s="11" t="s">
        <v>57</v>
      </c>
      <c r="C13" s="34" t="s">
        <v>112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v>32000</v>
      </c>
      <c r="J13" s="5">
        <v>2978</v>
      </c>
      <c r="K13" s="15">
        <f>L13+2140+2088+3960+1869+3592+3607</f>
        <v>20234</v>
      </c>
      <c r="L13" s="15">
        <f>2147+831</f>
        <v>2978</v>
      </c>
      <c r="M13" s="15">
        <f t="shared" si="9"/>
        <v>2978</v>
      </c>
      <c r="N13" s="15">
        <v>0</v>
      </c>
      <c r="O13" s="58">
        <f t="shared" si="10"/>
        <v>0</v>
      </c>
      <c r="P13" s="39">
        <f t="shared" si="11"/>
        <v>17</v>
      </c>
      <c r="Q13" s="40">
        <f t="shared" si="12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13"/>
        <v>1</v>
      </c>
      <c r="AC13" s="9">
        <f t="shared" si="14"/>
        <v>0.70833333333333337</v>
      </c>
      <c r="AD13" s="10">
        <f t="shared" si="15"/>
        <v>0.70833333333333337</v>
      </c>
      <c r="AE13" s="36">
        <f t="shared" si="7"/>
        <v>0.27898550724637677</v>
      </c>
      <c r="AF13" s="84">
        <f t="shared" si="16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129</v>
      </c>
      <c r="E14" s="53" t="s">
        <v>162</v>
      </c>
      <c r="F14" s="30" t="s">
        <v>147</v>
      </c>
      <c r="G14" s="33">
        <v>1</v>
      </c>
      <c r="H14" s="35">
        <v>22</v>
      </c>
      <c r="I14" s="7">
        <f>32000</f>
        <v>32000</v>
      </c>
      <c r="J14" s="14">
        <v>3081</v>
      </c>
      <c r="K14" s="15">
        <f>L14+3081</f>
        <v>3081</v>
      </c>
      <c r="L14" s="15"/>
      <c r="M14" s="15">
        <f t="shared" si="9"/>
        <v>0</v>
      </c>
      <c r="N14" s="15">
        <v>0</v>
      </c>
      <c r="O14" s="58" t="str">
        <f t="shared" si="10"/>
        <v>0</v>
      </c>
      <c r="P14" s="39" t="str">
        <f t="shared" si="11"/>
        <v>0</v>
      </c>
      <c r="Q14" s="40">
        <f t="shared" si="12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13"/>
        <v>0</v>
      </c>
      <c r="AC14" s="9">
        <f t="shared" si="14"/>
        <v>0</v>
      </c>
      <c r="AD14" s="10">
        <f t="shared" si="15"/>
        <v>0</v>
      </c>
      <c r="AE14" s="36">
        <f t="shared" si="7"/>
        <v>0.27898550724637677</v>
      </c>
      <c r="AF14" s="84">
        <f t="shared" si="16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144</v>
      </c>
      <c r="G15" s="33">
        <v>1</v>
      </c>
      <c r="H15" s="35">
        <v>30</v>
      </c>
      <c r="I15" s="7">
        <v>500</v>
      </c>
      <c r="J15" s="5">
        <v>636</v>
      </c>
      <c r="K15" s="15">
        <f>L15</f>
        <v>636</v>
      </c>
      <c r="L15" s="15">
        <f>636</f>
        <v>636</v>
      </c>
      <c r="M15" s="15">
        <f t="shared" si="9"/>
        <v>636</v>
      </c>
      <c r="N15" s="15">
        <v>0</v>
      </c>
      <c r="O15" s="58">
        <f t="shared" si="10"/>
        <v>0</v>
      </c>
      <c r="P15" s="39">
        <f t="shared" si="11"/>
        <v>12</v>
      </c>
      <c r="Q15" s="40">
        <f t="shared" si="12"/>
        <v>12</v>
      </c>
      <c r="R15" s="7"/>
      <c r="S15" s="6"/>
      <c r="T15" s="16"/>
      <c r="U15" s="16"/>
      <c r="V15" s="17"/>
      <c r="W15" s="5">
        <v>12</v>
      </c>
      <c r="X15" s="16"/>
      <c r="Y15" s="16"/>
      <c r="Z15" s="16"/>
      <c r="AA15" s="18"/>
      <c r="AB15" s="8">
        <f t="shared" si="13"/>
        <v>1</v>
      </c>
      <c r="AC15" s="9">
        <f t="shared" si="14"/>
        <v>0.5</v>
      </c>
      <c r="AD15" s="10">
        <f t="shared" si="15"/>
        <v>0.5</v>
      </c>
      <c r="AE15" s="36">
        <f t="shared" si="7"/>
        <v>0.27898550724637677</v>
      </c>
      <c r="AF15" s="84">
        <f t="shared" si="16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9"/>
        <v>0</v>
      </c>
      <c r="N16" s="15">
        <v>0</v>
      </c>
      <c r="O16" s="58" t="str">
        <f t="shared" si="10"/>
        <v>0</v>
      </c>
      <c r="P16" s="39" t="str">
        <f t="shared" si="11"/>
        <v>0</v>
      </c>
      <c r="Q16" s="40">
        <f t="shared" si="12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13"/>
        <v>0</v>
      </c>
      <c r="AC16" s="9">
        <f t="shared" si="14"/>
        <v>0</v>
      </c>
      <c r="AD16" s="10">
        <f t="shared" si="15"/>
        <v>0</v>
      </c>
      <c r="AE16" s="36">
        <f t="shared" si="7"/>
        <v>0.27898550724637677</v>
      </c>
      <c r="AF16" s="84">
        <f t="shared" si="16"/>
        <v>10</v>
      </c>
    </row>
    <row r="17" spans="1:32" ht="27" customHeight="1">
      <c r="A17" s="112">
        <v>11</v>
      </c>
      <c r="B17" s="11" t="s">
        <v>57</v>
      </c>
      <c r="C17" s="34" t="s">
        <v>112</v>
      </c>
      <c r="D17" s="52" t="s">
        <v>115</v>
      </c>
      <c r="E17" s="53" t="s">
        <v>166</v>
      </c>
      <c r="F17" s="30" t="s">
        <v>144</v>
      </c>
      <c r="G17" s="12">
        <v>1</v>
      </c>
      <c r="H17" s="13">
        <v>24</v>
      </c>
      <c r="I17" s="7">
        <v>3200</v>
      </c>
      <c r="J17" s="14">
        <v>5780</v>
      </c>
      <c r="K17" s="15">
        <f>L17+5781</f>
        <v>5781</v>
      </c>
      <c r="L17" s="15"/>
      <c r="M17" s="15">
        <f t="shared" si="9"/>
        <v>0</v>
      </c>
      <c r="N17" s="15">
        <v>0</v>
      </c>
      <c r="O17" s="58" t="str">
        <f t="shared" si="10"/>
        <v>0</v>
      </c>
      <c r="P17" s="39" t="str">
        <f t="shared" si="11"/>
        <v>0</v>
      </c>
      <c r="Q17" s="40">
        <f t="shared" si="12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13"/>
        <v>0</v>
      </c>
      <c r="AC17" s="9">
        <f t="shared" si="14"/>
        <v>0</v>
      </c>
      <c r="AD17" s="10">
        <f t="shared" si="15"/>
        <v>0</v>
      </c>
      <c r="AE17" s="36">
        <f t="shared" si="7"/>
        <v>0.27898550724637677</v>
      </c>
      <c r="AF17" s="84">
        <f t="shared" si="16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155</v>
      </c>
      <c r="E18" s="53" t="s">
        <v>169</v>
      </c>
      <c r="F18" s="30" t="s">
        <v>159</v>
      </c>
      <c r="G18" s="12">
        <v>1</v>
      </c>
      <c r="H18" s="13">
        <v>24</v>
      </c>
      <c r="I18" s="7">
        <v>10000</v>
      </c>
      <c r="J18" s="14">
        <v>3386</v>
      </c>
      <c r="K18" s="15">
        <f>L18</f>
        <v>3386</v>
      </c>
      <c r="L18" s="15">
        <f>466+2920</f>
        <v>3386</v>
      </c>
      <c r="M18" s="15">
        <f t="shared" si="9"/>
        <v>3386</v>
      </c>
      <c r="N18" s="15">
        <v>0</v>
      </c>
      <c r="O18" s="58">
        <f t="shared" si="10"/>
        <v>0</v>
      </c>
      <c r="P18" s="39">
        <f t="shared" si="11"/>
        <v>16</v>
      </c>
      <c r="Q18" s="40">
        <f t="shared" si="12"/>
        <v>8</v>
      </c>
      <c r="R18" s="7"/>
      <c r="S18" s="6">
        <v>8</v>
      </c>
      <c r="T18" s="16"/>
      <c r="U18" s="16"/>
      <c r="V18" s="17"/>
      <c r="W18" s="5"/>
      <c r="X18" s="16"/>
      <c r="Y18" s="16"/>
      <c r="Z18" s="16"/>
      <c r="AA18" s="18"/>
      <c r="AB18" s="8">
        <f t="shared" si="13"/>
        <v>1</v>
      </c>
      <c r="AC18" s="9">
        <f t="shared" si="14"/>
        <v>0.66666666666666663</v>
      </c>
      <c r="AD18" s="10">
        <f t="shared" si="15"/>
        <v>0.66666666666666663</v>
      </c>
      <c r="AE18" s="36">
        <f t="shared" si="7"/>
        <v>0.27898550724637677</v>
      </c>
      <c r="AF18" s="84">
        <f t="shared" si="16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129</v>
      </c>
      <c r="E19" s="53" t="s">
        <v>161</v>
      </c>
      <c r="F19" s="30" t="s">
        <v>124</v>
      </c>
      <c r="G19" s="33">
        <v>1</v>
      </c>
      <c r="H19" s="35">
        <v>24</v>
      </c>
      <c r="I19" s="7">
        <v>47000</v>
      </c>
      <c r="J19" s="14">
        <v>1726</v>
      </c>
      <c r="K19" s="15">
        <f>L19+10388+1789+7588+12212+11294+7402+1726</f>
        <v>52399</v>
      </c>
      <c r="L19" s="15"/>
      <c r="M19" s="15">
        <f t="shared" si="9"/>
        <v>0</v>
      </c>
      <c r="N19" s="15">
        <v>0</v>
      </c>
      <c r="O19" s="58" t="str">
        <f t="shared" si="10"/>
        <v>0</v>
      </c>
      <c r="P19" s="39" t="str">
        <f t="shared" si="11"/>
        <v>0</v>
      </c>
      <c r="Q19" s="40">
        <f t="shared" si="12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13"/>
        <v>0</v>
      </c>
      <c r="AC19" s="9">
        <f t="shared" si="14"/>
        <v>0</v>
      </c>
      <c r="AD19" s="10">
        <f t="shared" si="15"/>
        <v>0</v>
      </c>
      <c r="AE19" s="36">
        <f t="shared" si="7"/>
        <v>0.27898550724637677</v>
      </c>
      <c r="AF19" s="84">
        <f t="shared" si="16"/>
        <v>13</v>
      </c>
    </row>
    <row r="20" spans="1:32" ht="27" customHeight="1">
      <c r="A20" s="96">
        <v>14</v>
      </c>
      <c r="B20" s="11" t="s">
        <v>57</v>
      </c>
      <c r="C20" s="11" t="s">
        <v>130</v>
      </c>
      <c r="D20" s="52" t="s">
        <v>171</v>
      </c>
      <c r="E20" s="53" t="s">
        <v>172</v>
      </c>
      <c r="F20" s="30" t="s">
        <v>124</v>
      </c>
      <c r="G20" s="33">
        <v>2</v>
      </c>
      <c r="H20" s="35">
        <v>24</v>
      </c>
      <c r="I20" s="7">
        <v>6000</v>
      </c>
      <c r="J20" s="14">
        <v>7548</v>
      </c>
      <c r="K20" s="15">
        <f>L20+6368+7710</f>
        <v>21626</v>
      </c>
      <c r="L20" s="15">
        <f>1887*2+1887*2</f>
        <v>7548</v>
      </c>
      <c r="M20" s="15">
        <f t="shared" si="9"/>
        <v>7548</v>
      </c>
      <c r="N20" s="15">
        <v>0</v>
      </c>
      <c r="O20" s="58">
        <f t="shared" si="10"/>
        <v>0</v>
      </c>
      <c r="P20" s="39">
        <f t="shared" si="11"/>
        <v>24</v>
      </c>
      <c r="Q20" s="40">
        <f t="shared" si="12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13"/>
        <v>1</v>
      </c>
      <c r="AC20" s="9">
        <f t="shared" si="14"/>
        <v>1</v>
      </c>
      <c r="AD20" s="10">
        <f t="shared" si="15"/>
        <v>1</v>
      </c>
      <c r="AE20" s="36">
        <f t="shared" si="7"/>
        <v>0.27898550724637677</v>
      </c>
      <c r="AF20" s="84">
        <f t="shared" si="16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162</v>
      </c>
      <c r="F21" s="30" t="s">
        <v>147</v>
      </c>
      <c r="G21" s="33">
        <v>1</v>
      </c>
      <c r="H21" s="35">
        <v>24</v>
      </c>
      <c r="I21" s="7">
        <v>32000</v>
      </c>
      <c r="J21" s="14">
        <v>4958</v>
      </c>
      <c r="K21" s="15">
        <f>L21+3118+4990</f>
        <v>13066</v>
      </c>
      <c r="L21" s="15">
        <f>2472+2486</f>
        <v>4958</v>
      </c>
      <c r="M21" s="15">
        <f t="shared" si="9"/>
        <v>4958</v>
      </c>
      <c r="N21" s="15">
        <v>0</v>
      </c>
      <c r="O21" s="58">
        <f t="shared" si="10"/>
        <v>0</v>
      </c>
      <c r="P21" s="39">
        <f t="shared" si="11"/>
        <v>24</v>
      </c>
      <c r="Q21" s="40">
        <f t="shared" si="12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13"/>
        <v>1</v>
      </c>
      <c r="AC21" s="9">
        <f t="shared" si="14"/>
        <v>1</v>
      </c>
      <c r="AD21" s="10">
        <f t="shared" si="15"/>
        <v>1</v>
      </c>
      <c r="AE21" s="36">
        <f t="shared" si="7"/>
        <v>0.27898550724637677</v>
      </c>
      <c r="AF21" s="84">
        <f t="shared" si="16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127</v>
      </c>
      <c r="F22" s="12" t="s">
        <v>114</v>
      </c>
      <c r="G22" s="12">
        <v>4</v>
      </c>
      <c r="H22" s="35">
        <v>20</v>
      </c>
      <c r="I22" s="7">
        <v>1000000</v>
      </c>
      <c r="J22" s="14">
        <v>31552</v>
      </c>
      <c r="K22" s="15">
        <f>L22+50740+61508+62116+62068+58848+54656+61696+61724+33064+28160+54396+62000+61828+61480+59956+61580+19568+54948+62132+27348+33480+32292</f>
        <v>1157140</v>
      </c>
      <c r="L22" s="15">
        <f>7001*4+887*4</f>
        <v>31552</v>
      </c>
      <c r="M22" s="15">
        <f t="shared" si="9"/>
        <v>31552</v>
      </c>
      <c r="N22" s="15">
        <v>0</v>
      </c>
      <c r="O22" s="58">
        <f t="shared" si="10"/>
        <v>0</v>
      </c>
      <c r="P22" s="39">
        <f t="shared" si="11"/>
        <v>14</v>
      </c>
      <c r="Q22" s="40">
        <f t="shared" si="12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13"/>
        <v>1</v>
      </c>
      <c r="AC22" s="9">
        <f t="shared" si="14"/>
        <v>0.58333333333333337</v>
      </c>
      <c r="AD22" s="10">
        <f t="shared" si="15"/>
        <v>0.58333333333333337</v>
      </c>
      <c r="AE22" s="36">
        <f t="shared" si="7"/>
        <v>0.27898550724637677</v>
      </c>
      <c r="AF22" s="84">
        <f t="shared" si="16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9"/>
        <v>0</v>
      </c>
      <c r="N23" s="15">
        <v>0</v>
      </c>
      <c r="O23" s="58" t="str">
        <f t="shared" si="10"/>
        <v>0</v>
      </c>
      <c r="P23" s="39" t="str">
        <f t="shared" si="11"/>
        <v>0</v>
      </c>
      <c r="Q23" s="40">
        <f t="shared" si="12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13"/>
        <v>0</v>
      </c>
      <c r="AC23" s="9">
        <f t="shared" si="14"/>
        <v>0</v>
      </c>
      <c r="AD23" s="10">
        <f t="shared" si="15"/>
        <v>0</v>
      </c>
      <c r="AE23" s="36">
        <f t="shared" si="7"/>
        <v>0.27898550724637677</v>
      </c>
      <c r="AF23" s="84">
        <f t="shared" si="16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9"/>
        <v>0</v>
      </c>
      <c r="N24" s="15">
        <v>0</v>
      </c>
      <c r="O24" s="58" t="str">
        <f t="shared" si="10"/>
        <v>0</v>
      </c>
      <c r="P24" s="39" t="str">
        <f t="shared" si="11"/>
        <v>0</v>
      </c>
      <c r="Q24" s="40">
        <f t="shared" si="12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13"/>
        <v>0</v>
      </c>
      <c r="AC24" s="9">
        <f t="shared" si="14"/>
        <v>0</v>
      </c>
      <c r="AD24" s="10">
        <f t="shared" si="15"/>
        <v>0</v>
      </c>
      <c r="AE24" s="36">
        <f t="shared" si="7"/>
        <v>0.27898550724637677</v>
      </c>
      <c r="AF24" s="84">
        <f t="shared" si="16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9"/>
        <v>0</v>
      </c>
      <c r="N25" s="15">
        <v>0</v>
      </c>
      <c r="O25" s="58" t="str">
        <f t="shared" si="10"/>
        <v>0</v>
      </c>
      <c r="P25" s="39" t="str">
        <f t="shared" si="11"/>
        <v>0</v>
      </c>
      <c r="Q25" s="40">
        <f t="shared" si="12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13"/>
        <v>0</v>
      </c>
      <c r="AC25" s="9">
        <f t="shared" si="14"/>
        <v>0</v>
      </c>
      <c r="AD25" s="10">
        <f t="shared" si="15"/>
        <v>0</v>
      </c>
      <c r="AE25" s="36">
        <f t="shared" si="7"/>
        <v>0.27898550724637677</v>
      </c>
      <c r="AF25" s="84">
        <f t="shared" si="16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9"/>
        <v>0</v>
      </c>
      <c r="N26" s="15">
        <v>0</v>
      </c>
      <c r="O26" s="58" t="str">
        <f t="shared" si="10"/>
        <v>0</v>
      </c>
      <c r="P26" s="39" t="str">
        <f t="shared" si="11"/>
        <v>0</v>
      </c>
      <c r="Q26" s="40">
        <f t="shared" si="12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13"/>
        <v>0</v>
      </c>
      <c r="AC26" s="9">
        <f t="shared" si="14"/>
        <v>0</v>
      </c>
      <c r="AD26" s="10">
        <f t="shared" si="15"/>
        <v>0</v>
      </c>
      <c r="AE26" s="36">
        <f t="shared" si="7"/>
        <v>0.27898550724637677</v>
      </c>
      <c r="AF26" s="84">
        <f t="shared" si="16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9"/>
        <v>0</v>
      </c>
      <c r="N27" s="15">
        <v>0</v>
      </c>
      <c r="O27" s="58" t="str">
        <f t="shared" si="10"/>
        <v>0</v>
      </c>
      <c r="P27" s="39" t="str">
        <f t="shared" si="11"/>
        <v>0</v>
      </c>
      <c r="Q27" s="40">
        <f t="shared" si="12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13"/>
        <v>0</v>
      </c>
      <c r="AC27" s="9">
        <f t="shared" si="14"/>
        <v>0</v>
      </c>
      <c r="AD27" s="10">
        <f t="shared" si="15"/>
        <v>0</v>
      </c>
      <c r="AE27" s="36">
        <f t="shared" si="7"/>
        <v>0.27898550724637677</v>
      </c>
      <c r="AF27" s="84">
        <f t="shared" si="16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9"/>
        <v>0</v>
      </c>
      <c r="N28" s="15">
        <v>0</v>
      </c>
      <c r="O28" s="58" t="str">
        <f t="shared" si="10"/>
        <v>0</v>
      </c>
      <c r="P28" s="39" t="str">
        <f t="shared" si="11"/>
        <v>0</v>
      </c>
      <c r="Q28" s="40">
        <f t="shared" si="12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13"/>
        <v>0</v>
      </c>
      <c r="AC28" s="9">
        <f t="shared" si="14"/>
        <v>0</v>
      </c>
      <c r="AD28" s="10">
        <f t="shared" si="15"/>
        <v>0</v>
      </c>
      <c r="AE28" s="36">
        <f t="shared" si="7"/>
        <v>0.27898550724637677</v>
      </c>
      <c r="AF28" s="84">
        <f t="shared" si="16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7">SUM(I6:I28)</f>
        <v>3877200</v>
      </c>
      <c r="J29" s="19">
        <f t="shared" si="17"/>
        <v>487152</v>
      </c>
      <c r="K29" s="20">
        <f t="shared" si="17"/>
        <v>6247298</v>
      </c>
      <c r="L29" s="21">
        <f t="shared" si="17"/>
        <v>64555</v>
      </c>
      <c r="M29" s="20">
        <f t="shared" si="17"/>
        <v>64555</v>
      </c>
      <c r="N29" s="21">
        <f t="shared" si="17"/>
        <v>0</v>
      </c>
      <c r="O29" s="41">
        <f t="shared" si="10"/>
        <v>0</v>
      </c>
      <c r="P29" s="42">
        <f t="shared" ref="P29:AA29" si="18">SUM(P6:P28)</f>
        <v>154</v>
      </c>
      <c r="Q29" s="43">
        <f t="shared" si="18"/>
        <v>398</v>
      </c>
      <c r="R29" s="23">
        <f t="shared" si="18"/>
        <v>0</v>
      </c>
      <c r="S29" s="24">
        <f t="shared" si="18"/>
        <v>63</v>
      </c>
      <c r="T29" s="24">
        <f t="shared" si="18"/>
        <v>12</v>
      </c>
      <c r="U29" s="24">
        <f t="shared" si="18"/>
        <v>0</v>
      </c>
      <c r="V29" s="25">
        <f t="shared" si="18"/>
        <v>10</v>
      </c>
      <c r="W29" s="26">
        <f t="shared" si="18"/>
        <v>313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0</v>
      </c>
      <c r="AB29" s="28">
        <f>AVERAGE(AB6:AB28)</f>
        <v>0.47619047619047616</v>
      </c>
      <c r="AC29" s="4">
        <f>AVERAGE(AC6:AC28)</f>
        <v>0.27898550724637677</v>
      </c>
      <c r="AD29" s="4">
        <f>AVERAGE(AD6:AD28)</f>
        <v>0.27898550724637677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149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173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122" t="s">
        <v>46</v>
      </c>
      <c r="D58" s="122" t="s">
        <v>47</v>
      </c>
      <c r="E58" s="122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122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124" t="s">
        <v>154</v>
      </c>
      <c r="D59" s="124" t="s">
        <v>115</v>
      </c>
      <c r="E59" s="124" t="s">
        <v>164</v>
      </c>
      <c r="F59" s="437" t="s">
        <v>180</v>
      </c>
      <c r="G59" s="438"/>
      <c r="H59" s="438"/>
      <c r="I59" s="438"/>
      <c r="J59" s="438"/>
      <c r="K59" s="438"/>
      <c r="L59" s="438"/>
      <c r="M59" s="439"/>
      <c r="N59" s="123" t="s">
        <v>112</v>
      </c>
      <c r="O59" s="130" t="s">
        <v>148</v>
      </c>
      <c r="P59" s="440" t="s">
        <v>155</v>
      </c>
      <c r="Q59" s="441"/>
      <c r="R59" s="440" t="s">
        <v>188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116</v>
      </c>
      <c r="B60" s="436"/>
      <c r="C60" s="124" t="s">
        <v>181</v>
      </c>
      <c r="D60" s="124" t="s">
        <v>155</v>
      </c>
      <c r="E60" s="124" t="s">
        <v>176</v>
      </c>
      <c r="F60" s="437" t="s">
        <v>182</v>
      </c>
      <c r="G60" s="438"/>
      <c r="H60" s="438"/>
      <c r="I60" s="438"/>
      <c r="J60" s="438"/>
      <c r="K60" s="438"/>
      <c r="L60" s="438"/>
      <c r="M60" s="439"/>
      <c r="N60" s="123" t="s">
        <v>190</v>
      </c>
      <c r="O60" s="130" t="s">
        <v>191</v>
      </c>
      <c r="P60" s="440" t="s">
        <v>155</v>
      </c>
      <c r="Q60" s="441"/>
      <c r="R60" s="440" t="s">
        <v>189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124" t="s">
        <v>181</v>
      </c>
      <c r="D61" s="124" t="s">
        <v>155</v>
      </c>
      <c r="E61" s="124" t="s">
        <v>177</v>
      </c>
      <c r="F61" s="437" t="s">
        <v>122</v>
      </c>
      <c r="G61" s="438"/>
      <c r="H61" s="438"/>
      <c r="I61" s="438"/>
      <c r="J61" s="438"/>
      <c r="K61" s="438"/>
      <c r="L61" s="438"/>
      <c r="M61" s="439"/>
      <c r="N61" s="123" t="s">
        <v>190</v>
      </c>
      <c r="O61" s="130" t="s">
        <v>192</v>
      </c>
      <c r="P61" s="440" t="s">
        <v>193</v>
      </c>
      <c r="Q61" s="441"/>
      <c r="R61" s="440" t="s">
        <v>194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183</v>
      </c>
      <c r="B62" s="436"/>
      <c r="C62" s="124" t="s">
        <v>184</v>
      </c>
      <c r="D62" s="124" t="s">
        <v>155</v>
      </c>
      <c r="E62" s="124" t="s">
        <v>185</v>
      </c>
      <c r="F62" s="437" t="s">
        <v>165</v>
      </c>
      <c r="G62" s="438"/>
      <c r="H62" s="438"/>
      <c r="I62" s="438"/>
      <c r="J62" s="438"/>
      <c r="K62" s="438"/>
      <c r="L62" s="438"/>
      <c r="M62" s="439"/>
      <c r="N62" s="123" t="s">
        <v>190</v>
      </c>
      <c r="O62" s="130" t="s">
        <v>196</v>
      </c>
      <c r="P62" s="440" t="s">
        <v>197</v>
      </c>
      <c r="Q62" s="441"/>
      <c r="R62" s="440" t="s">
        <v>195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124" t="s">
        <v>187</v>
      </c>
      <c r="D63" s="124" t="s">
        <v>115</v>
      </c>
      <c r="E63" s="124" t="s">
        <v>186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123" t="s">
        <v>190</v>
      </c>
      <c r="O63" s="130" t="s">
        <v>199</v>
      </c>
      <c r="P63" s="440" t="s">
        <v>200</v>
      </c>
      <c r="Q63" s="441"/>
      <c r="R63" s="440" t="s">
        <v>198</v>
      </c>
      <c r="S63" s="442"/>
      <c r="T63" s="442"/>
      <c r="U63" s="441"/>
      <c r="V63" s="437" t="s">
        <v>122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/>
      <c r="B64" s="436"/>
      <c r="C64" s="124"/>
      <c r="D64" s="124"/>
      <c r="E64" s="124"/>
      <c r="F64" s="437"/>
      <c r="G64" s="438"/>
      <c r="H64" s="438"/>
      <c r="I64" s="438"/>
      <c r="J64" s="438"/>
      <c r="K64" s="438"/>
      <c r="L64" s="438"/>
      <c r="M64" s="439"/>
      <c r="N64" s="123"/>
      <c r="O64" s="130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/>
      <c r="B65" s="436"/>
      <c r="C65" s="124"/>
      <c r="D65" s="124"/>
      <c r="E65" s="124"/>
      <c r="F65" s="437"/>
      <c r="G65" s="438"/>
      <c r="H65" s="438"/>
      <c r="I65" s="438"/>
      <c r="J65" s="438"/>
      <c r="K65" s="438"/>
      <c r="L65" s="438"/>
      <c r="M65" s="439"/>
      <c r="N65" s="123"/>
      <c r="O65" s="130"/>
      <c r="P65" s="440"/>
      <c r="Q65" s="441"/>
      <c r="R65" s="440"/>
      <c r="S65" s="442"/>
      <c r="T65" s="442"/>
      <c r="U65" s="441"/>
      <c r="V65" s="443"/>
      <c r="W65" s="443"/>
      <c r="X65" s="443"/>
      <c r="Y65" s="443"/>
      <c r="Z65" s="443"/>
      <c r="AA65" s="443"/>
      <c r="AB65" s="443"/>
      <c r="AC65" s="443"/>
      <c r="AD65" s="444"/>
    </row>
    <row r="66" spans="1:32" ht="27" customHeight="1">
      <c r="A66" s="453"/>
      <c r="B66" s="454"/>
      <c r="C66" s="127"/>
      <c r="D66" s="127"/>
      <c r="E66" s="124"/>
      <c r="F66" s="437"/>
      <c r="G66" s="438"/>
      <c r="H66" s="438"/>
      <c r="I66" s="438"/>
      <c r="J66" s="438"/>
      <c r="K66" s="438"/>
      <c r="L66" s="438"/>
      <c r="M66" s="439"/>
      <c r="N66" s="123"/>
      <c r="O66" s="130"/>
      <c r="P66" s="440"/>
      <c r="Q66" s="441"/>
      <c r="R66" s="440"/>
      <c r="S66" s="442"/>
      <c r="T66" s="442"/>
      <c r="U66" s="441"/>
      <c r="V66" s="443"/>
      <c r="W66" s="443"/>
      <c r="X66" s="443"/>
      <c r="Y66" s="443"/>
      <c r="Z66" s="443"/>
      <c r="AA66" s="443"/>
      <c r="AB66" s="443"/>
      <c r="AC66" s="443"/>
      <c r="AD66" s="444"/>
    </row>
    <row r="67" spans="1:32" ht="27" customHeight="1">
      <c r="A67" s="453"/>
      <c r="B67" s="454"/>
      <c r="C67" s="127"/>
      <c r="D67" s="127"/>
      <c r="E67" s="124"/>
      <c r="F67" s="437"/>
      <c r="G67" s="438"/>
      <c r="H67" s="438"/>
      <c r="I67" s="438"/>
      <c r="J67" s="438"/>
      <c r="K67" s="438"/>
      <c r="L67" s="438"/>
      <c r="M67" s="439"/>
      <c r="N67" s="123"/>
      <c r="O67" s="130"/>
      <c r="P67" s="436"/>
      <c r="Q67" s="436"/>
      <c r="R67" s="436"/>
      <c r="S67" s="436"/>
      <c r="T67" s="436"/>
      <c r="U67" s="436"/>
      <c r="V67" s="443"/>
      <c r="W67" s="443"/>
      <c r="X67" s="443"/>
      <c r="Y67" s="443"/>
      <c r="Z67" s="443"/>
      <c r="AA67" s="443"/>
      <c r="AB67" s="443"/>
      <c r="AC67" s="443"/>
      <c r="AD67" s="444"/>
      <c r="AF67" s="84">
        <f>8*3000</f>
        <v>24000</v>
      </c>
    </row>
    <row r="68" spans="1:32" ht="27" customHeight="1" thickBot="1">
      <c r="A68" s="445"/>
      <c r="B68" s="446"/>
      <c r="C68" s="125"/>
      <c r="D68" s="126"/>
      <c r="E68" s="125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150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128" t="s">
        <v>2</v>
      </c>
      <c r="D70" s="128" t="s">
        <v>37</v>
      </c>
      <c r="E70" s="128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128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190</v>
      </c>
      <c r="D71" s="132"/>
      <c r="E71" s="129" t="s">
        <v>207</v>
      </c>
      <c r="F71" s="464" t="s">
        <v>176</v>
      </c>
      <c r="G71" s="465"/>
      <c r="H71" s="465"/>
      <c r="I71" s="465"/>
      <c r="J71" s="465"/>
      <c r="K71" s="465" t="s">
        <v>209</v>
      </c>
      <c r="L71" s="465"/>
      <c r="M71" s="51" t="s">
        <v>213</v>
      </c>
      <c r="N71" s="466" t="s">
        <v>181</v>
      </c>
      <c r="O71" s="466"/>
      <c r="P71" s="467">
        <v>50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206</v>
      </c>
      <c r="D72" s="132"/>
      <c r="E72" s="129" t="s">
        <v>207</v>
      </c>
      <c r="F72" s="464" t="s">
        <v>201</v>
      </c>
      <c r="G72" s="465"/>
      <c r="H72" s="465"/>
      <c r="I72" s="465"/>
      <c r="J72" s="465"/>
      <c r="K72" s="465">
        <v>8301</v>
      </c>
      <c r="L72" s="465"/>
      <c r="M72" s="51" t="s">
        <v>214</v>
      </c>
      <c r="N72" s="466" t="s">
        <v>181</v>
      </c>
      <c r="O72" s="466"/>
      <c r="P72" s="467">
        <v>100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 t="s">
        <v>183</v>
      </c>
      <c r="D73" s="132"/>
      <c r="E73" s="129" t="s">
        <v>197</v>
      </c>
      <c r="F73" s="469" t="s">
        <v>202</v>
      </c>
      <c r="G73" s="470"/>
      <c r="H73" s="470"/>
      <c r="I73" s="470"/>
      <c r="J73" s="471"/>
      <c r="K73" s="465" t="s">
        <v>210</v>
      </c>
      <c r="L73" s="465"/>
      <c r="M73" s="51" t="s">
        <v>214</v>
      </c>
      <c r="N73" s="466" t="s">
        <v>191</v>
      </c>
      <c r="O73" s="466"/>
      <c r="P73" s="467">
        <v>50</v>
      </c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 t="s">
        <v>206</v>
      </c>
      <c r="D74" s="132"/>
      <c r="E74" s="129" t="s">
        <v>197</v>
      </c>
      <c r="F74" s="469" t="s">
        <v>203</v>
      </c>
      <c r="G74" s="470"/>
      <c r="H74" s="470"/>
      <c r="I74" s="470"/>
      <c r="J74" s="471"/>
      <c r="K74" s="465" t="s">
        <v>211</v>
      </c>
      <c r="L74" s="465"/>
      <c r="M74" s="51" t="s">
        <v>214</v>
      </c>
      <c r="N74" s="466" t="s">
        <v>191</v>
      </c>
      <c r="O74" s="466"/>
      <c r="P74" s="467">
        <v>100</v>
      </c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 t="s">
        <v>206</v>
      </c>
      <c r="D75" s="132"/>
      <c r="E75" s="129" t="s">
        <v>208</v>
      </c>
      <c r="F75" s="469" t="s">
        <v>204</v>
      </c>
      <c r="G75" s="470"/>
      <c r="H75" s="470"/>
      <c r="I75" s="470"/>
      <c r="J75" s="471"/>
      <c r="K75" s="465" t="s">
        <v>212</v>
      </c>
      <c r="L75" s="465"/>
      <c r="M75" s="51" t="s">
        <v>214</v>
      </c>
      <c r="N75" s="466" t="s">
        <v>191</v>
      </c>
      <c r="O75" s="466"/>
      <c r="P75" s="467">
        <v>100</v>
      </c>
      <c r="Q75" s="467"/>
      <c r="R75" s="443" t="s">
        <v>215</v>
      </c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 t="s">
        <v>206</v>
      </c>
      <c r="D76" s="132"/>
      <c r="E76" s="129" t="s">
        <v>193</v>
      </c>
      <c r="F76" s="469" t="s">
        <v>205</v>
      </c>
      <c r="G76" s="470"/>
      <c r="H76" s="470"/>
      <c r="I76" s="470"/>
      <c r="J76" s="471"/>
      <c r="K76" s="465" t="s">
        <v>212</v>
      </c>
      <c r="L76" s="465"/>
      <c r="M76" s="51" t="s">
        <v>214</v>
      </c>
      <c r="N76" s="466" t="s">
        <v>192</v>
      </c>
      <c r="O76" s="466"/>
      <c r="P76" s="467">
        <v>100</v>
      </c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132"/>
      <c r="E77" s="129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132"/>
      <c r="E78" s="129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132"/>
      <c r="E79" s="129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132"/>
      <c r="E80" s="129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151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131" t="s">
        <v>2</v>
      </c>
      <c r="D82" s="131" t="s">
        <v>37</v>
      </c>
      <c r="E82" s="131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133"/>
      <c r="D83" s="133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132"/>
      <c r="D84" s="132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9">A84+1</f>
        <v>3</v>
      </c>
      <c r="B85" s="481"/>
      <c r="C85" s="132"/>
      <c r="D85" s="132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9"/>
        <v>4</v>
      </c>
      <c r="B86" s="481"/>
      <c r="C86" s="132"/>
      <c r="D86" s="132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9"/>
        <v>5</v>
      </c>
      <c r="B87" s="481"/>
      <c r="C87" s="132"/>
      <c r="D87" s="132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9"/>
        <v>6</v>
      </c>
      <c r="B88" s="481"/>
      <c r="C88" s="132"/>
      <c r="D88" s="132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9"/>
        <v>7</v>
      </c>
      <c r="B89" s="481"/>
      <c r="C89" s="132"/>
      <c r="D89" s="132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152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3BE1-8723-48A4-A4FB-5C58C7FFA1D8}">
  <sheetPr codeName="Sheet3">
    <pageSetUpPr fitToPage="1"/>
  </sheetPr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216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134" t="s">
        <v>17</v>
      </c>
      <c r="L5" s="134" t="s">
        <v>18</v>
      </c>
      <c r="M5" s="134" t="s">
        <v>19</v>
      </c>
      <c r="N5" s="13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217</v>
      </c>
      <c r="F6" s="30" t="s">
        <v>159</v>
      </c>
      <c r="G6" s="12">
        <v>1</v>
      </c>
      <c r="H6" s="13">
        <v>24</v>
      </c>
      <c r="I6" s="31">
        <v>100</v>
      </c>
      <c r="J6" s="14">
        <v>162</v>
      </c>
      <c r="K6" s="15">
        <f>L6</f>
        <v>162</v>
      </c>
      <c r="L6" s="15">
        <v>162</v>
      </c>
      <c r="M6" s="15">
        <f t="shared" ref="M6:M28" si="0">L6-N6</f>
        <v>162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4</v>
      </c>
      <c r="Q6" s="40">
        <f t="shared" ref="Q6:Q28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0.16666666666666666</v>
      </c>
      <c r="AD6" s="10">
        <f t="shared" ref="AD6:AD28" si="6">AC6*AB6*(1-O6)</f>
        <v>0.16666666666666666</v>
      </c>
      <c r="AE6" s="36">
        <f t="shared" ref="AE6:AE28" si="7">$AD$29</f>
        <v>0.42753623188405798</v>
      </c>
      <c r="AF6" s="84">
        <f t="shared" ref="AF6:AF28" si="8">A6</f>
        <v>1</v>
      </c>
    </row>
    <row r="7" spans="1:32" ht="27" customHeight="1">
      <c r="A7" s="112">
        <v>1</v>
      </c>
      <c r="B7" s="11" t="s">
        <v>57</v>
      </c>
      <c r="C7" s="34" t="s">
        <v>218</v>
      </c>
      <c r="D7" s="52" t="s">
        <v>219</v>
      </c>
      <c r="E7" s="53" t="s">
        <v>219</v>
      </c>
      <c r="F7" s="30" t="s">
        <v>153</v>
      </c>
      <c r="G7" s="12">
        <v>1</v>
      </c>
      <c r="H7" s="13">
        <v>24</v>
      </c>
      <c r="I7" s="31">
        <v>3000</v>
      </c>
      <c r="J7" s="14">
        <v>2771</v>
      </c>
      <c r="K7" s="15">
        <f>L7</f>
        <v>2771</v>
      </c>
      <c r="L7" s="15">
        <f>335+2436</f>
        <v>2771</v>
      </c>
      <c r="M7" s="15">
        <f t="shared" si="0"/>
        <v>2771</v>
      </c>
      <c r="N7" s="15">
        <v>0</v>
      </c>
      <c r="O7" s="58">
        <f t="shared" si="1"/>
        <v>0</v>
      </c>
      <c r="P7" s="39">
        <f t="shared" si="2"/>
        <v>15</v>
      </c>
      <c r="Q7" s="40">
        <f t="shared" si="3"/>
        <v>9</v>
      </c>
      <c r="R7" s="7"/>
      <c r="S7" s="6"/>
      <c r="T7" s="16">
        <v>9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0.625</v>
      </c>
      <c r="AD7" s="10">
        <f t="shared" si="6"/>
        <v>0.625</v>
      </c>
      <c r="AE7" s="36">
        <f t="shared" si="7"/>
        <v>0.42753623188405798</v>
      </c>
      <c r="AF7" s="84">
        <f t="shared" si="8"/>
        <v>1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155</v>
      </c>
      <c r="E8" s="53" t="s">
        <v>188</v>
      </c>
      <c r="F8" s="30" t="s">
        <v>153</v>
      </c>
      <c r="G8" s="12">
        <v>3</v>
      </c>
      <c r="H8" s="13">
        <v>24</v>
      </c>
      <c r="I8" s="31">
        <v>49000</v>
      </c>
      <c r="J8" s="14">
        <v>17244</v>
      </c>
      <c r="K8" s="15">
        <f>L8</f>
        <v>17244</v>
      </c>
      <c r="L8" s="15">
        <f>2924*3+2824*3</f>
        <v>17244</v>
      </c>
      <c r="M8" s="15">
        <f t="shared" si="0"/>
        <v>17244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0.42753623188405798</v>
      </c>
      <c r="AF8" s="84">
        <f t="shared" si="8"/>
        <v>2</v>
      </c>
    </row>
    <row r="9" spans="1:32" ht="27" customHeight="1">
      <c r="A9" s="112">
        <v>3</v>
      </c>
      <c r="B9" s="11" t="s">
        <v>57</v>
      </c>
      <c r="C9" s="34" t="s">
        <v>116</v>
      </c>
      <c r="D9" s="52" t="s">
        <v>155</v>
      </c>
      <c r="E9" s="53" t="s">
        <v>189</v>
      </c>
      <c r="F9" s="30" t="s">
        <v>220</v>
      </c>
      <c r="G9" s="12">
        <v>2</v>
      </c>
      <c r="H9" s="13">
        <v>24</v>
      </c>
      <c r="I9" s="7">
        <v>10000</v>
      </c>
      <c r="J9" s="14">
        <v>8122</v>
      </c>
      <c r="K9" s="15">
        <f>L9</f>
        <v>8122</v>
      </c>
      <c r="L9" s="15">
        <f>2497*2+1564*2</f>
        <v>8122</v>
      </c>
      <c r="M9" s="15">
        <f t="shared" si="0"/>
        <v>8122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/>
      <c r="T9" s="16">
        <v>3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0.42753623188405798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155</v>
      </c>
      <c r="E10" s="53" t="s">
        <v>163</v>
      </c>
      <c r="F10" s="30" t="s">
        <v>124</v>
      </c>
      <c r="G10" s="12">
        <v>1</v>
      </c>
      <c r="H10" s="13">
        <v>24</v>
      </c>
      <c r="I10" s="7">
        <v>1500</v>
      </c>
      <c r="J10" s="14">
        <v>5029</v>
      </c>
      <c r="K10" s="15">
        <f>L10+2933+5029</f>
        <v>7962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0.42753623188405798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116</v>
      </c>
      <c r="D11" s="52" t="s">
        <v>157</v>
      </c>
      <c r="E11" s="53" t="s">
        <v>198</v>
      </c>
      <c r="F11" s="30" t="s">
        <v>132</v>
      </c>
      <c r="G11" s="33">
        <v>2</v>
      </c>
      <c r="H11" s="35">
        <v>24</v>
      </c>
      <c r="I11" s="7">
        <v>2000</v>
      </c>
      <c r="J11" s="14">
        <v>7276</v>
      </c>
      <c r="K11" s="15">
        <f>L11</f>
        <v>7276</v>
      </c>
      <c r="L11" s="15">
        <f>2015*2+1623*2</f>
        <v>7276</v>
      </c>
      <c r="M11" s="15">
        <f t="shared" si="0"/>
        <v>7276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/>
      <c r="T11" s="16">
        <v>4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6">
        <f t="shared" si="7"/>
        <v>0.42753623188405798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221</v>
      </c>
      <c r="E12" s="53" t="s">
        <v>170</v>
      </c>
      <c r="F12" s="30" t="s">
        <v>132</v>
      </c>
      <c r="G12" s="33">
        <v>2</v>
      </c>
      <c r="H12" s="35">
        <v>24</v>
      </c>
      <c r="I12" s="7">
        <v>10000</v>
      </c>
      <c r="J12" s="14">
        <v>11152</v>
      </c>
      <c r="K12" s="15">
        <f>L12</f>
        <v>11152</v>
      </c>
      <c r="L12" s="15">
        <f>4790*2+786*2</f>
        <v>11152</v>
      </c>
      <c r="M12" s="15">
        <f t="shared" si="0"/>
        <v>11152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0.42753623188405798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112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v>32000</v>
      </c>
      <c r="J13" s="5">
        <v>4572</v>
      </c>
      <c r="K13" s="15">
        <f>L13+2140+2088+3960+1869+3592+3607+2978</f>
        <v>24806</v>
      </c>
      <c r="L13" s="15">
        <f>2253+2319</f>
        <v>4572</v>
      </c>
      <c r="M13" s="15">
        <f t="shared" si="0"/>
        <v>4572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0.42753623188405798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129</v>
      </c>
      <c r="E14" s="53" t="s">
        <v>162</v>
      </c>
      <c r="F14" s="30" t="s">
        <v>147</v>
      </c>
      <c r="G14" s="33">
        <v>1</v>
      </c>
      <c r="H14" s="35">
        <v>22</v>
      </c>
      <c r="I14" s="7">
        <f>32000</f>
        <v>32000</v>
      </c>
      <c r="J14" s="14">
        <v>3081</v>
      </c>
      <c r="K14" s="15">
        <f>L14+3081</f>
        <v>3081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0.42753623188405798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144</v>
      </c>
      <c r="G15" s="33">
        <v>1</v>
      </c>
      <c r="H15" s="35">
        <v>30</v>
      </c>
      <c r="I15" s="7">
        <v>500</v>
      </c>
      <c r="J15" s="5">
        <v>636</v>
      </c>
      <c r="K15" s="15">
        <f>L15+636</f>
        <v>636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0.42753623188405798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0.42753623188405798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112</v>
      </c>
      <c r="D17" s="52" t="s">
        <v>115</v>
      </c>
      <c r="E17" s="53" t="s">
        <v>166</v>
      </c>
      <c r="F17" s="30" t="s">
        <v>144</v>
      </c>
      <c r="G17" s="12">
        <v>1</v>
      </c>
      <c r="H17" s="13">
        <v>24</v>
      </c>
      <c r="I17" s="7">
        <v>3200</v>
      </c>
      <c r="J17" s="14">
        <v>5780</v>
      </c>
      <c r="K17" s="15">
        <f>L17+5781</f>
        <v>5781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0.42753623188405798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155</v>
      </c>
      <c r="E18" s="53" t="s">
        <v>169</v>
      </c>
      <c r="F18" s="30" t="s">
        <v>159</v>
      </c>
      <c r="G18" s="12">
        <v>1</v>
      </c>
      <c r="H18" s="13">
        <v>24</v>
      </c>
      <c r="I18" s="7">
        <v>10000</v>
      </c>
      <c r="J18" s="14">
        <v>5752</v>
      </c>
      <c r="K18" s="15">
        <f>L18+3386</f>
        <v>9138</v>
      </c>
      <c r="L18" s="15">
        <f>2807+2945</f>
        <v>5752</v>
      </c>
      <c r="M18" s="15">
        <f t="shared" si="0"/>
        <v>5752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0.42753623188405798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116</v>
      </c>
      <c r="D19" s="52" t="s">
        <v>115</v>
      </c>
      <c r="E19" s="53" t="s">
        <v>195</v>
      </c>
      <c r="F19" s="30" t="s">
        <v>144</v>
      </c>
      <c r="G19" s="33">
        <v>2</v>
      </c>
      <c r="H19" s="35">
        <v>24</v>
      </c>
      <c r="I19" s="7">
        <v>10000</v>
      </c>
      <c r="J19" s="14">
        <v>9606</v>
      </c>
      <c r="K19" s="15">
        <f>L19</f>
        <v>9606</v>
      </c>
      <c r="L19" s="15">
        <f>2498*2+2305*2</f>
        <v>9606</v>
      </c>
      <c r="M19" s="15">
        <f t="shared" si="0"/>
        <v>9606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0.42753623188405798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130</v>
      </c>
      <c r="D20" s="52" t="s">
        <v>171</v>
      </c>
      <c r="E20" s="53" t="s">
        <v>172</v>
      </c>
      <c r="F20" s="30" t="s">
        <v>124</v>
      </c>
      <c r="G20" s="33">
        <v>2</v>
      </c>
      <c r="H20" s="35">
        <v>24</v>
      </c>
      <c r="I20" s="7">
        <v>6000</v>
      </c>
      <c r="J20" s="14">
        <v>6892</v>
      </c>
      <c r="K20" s="15">
        <f>L20+6368+7710+7548</f>
        <v>28518</v>
      </c>
      <c r="L20" s="15">
        <f>1826*2+1620*2</f>
        <v>6892</v>
      </c>
      <c r="M20" s="15">
        <f t="shared" si="0"/>
        <v>6892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0.42753623188405798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162</v>
      </c>
      <c r="F21" s="30" t="s">
        <v>147</v>
      </c>
      <c r="G21" s="33">
        <v>1</v>
      </c>
      <c r="H21" s="35">
        <v>24</v>
      </c>
      <c r="I21" s="7">
        <v>32000</v>
      </c>
      <c r="J21" s="14">
        <v>4394</v>
      </c>
      <c r="K21" s="15">
        <f>L21+3118+4990+4958</f>
        <v>17460</v>
      </c>
      <c r="L21" s="15">
        <f>1902+2492</f>
        <v>4394</v>
      </c>
      <c r="M21" s="15">
        <f t="shared" si="0"/>
        <v>4394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0.42753623188405798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127</v>
      </c>
      <c r="F22" s="12" t="s">
        <v>114</v>
      </c>
      <c r="G22" s="12">
        <v>4</v>
      </c>
      <c r="H22" s="35">
        <v>20</v>
      </c>
      <c r="I22" s="7">
        <v>1000000</v>
      </c>
      <c r="J22" s="14">
        <v>30000</v>
      </c>
      <c r="K22" s="15">
        <f>L22+50740+61508+62116+62068+58848+54656+61696+61724+33064+28160+54396+62000+61828+61480+59956+61580+19568+54948+62132+27348+33480+32292+31552</f>
        <v>1187140</v>
      </c>
      <c r="L22" s="15">
        <f>7500*4</f>
        <v>30000</v>
      </c>
      <c r="M22" s="15">
        <f t="shared" si="0"/>
        <v>30000</v>
      </c>
      <c r="N22" s="15">
        <v>0</v>
      </c>
      <c r="O22" s="58">
        <f t="shared" si="1"/>
        <v>0</v>
      </c>
      <c r="P22" s="39">
        <f t="shared" si="2"/>
        <v>14</v>
      </c>
      <c r="Q22" s="40">
        <f t="shared" si="3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0.58333333333333337</v>
      </c>
      <c r="AD22" s="10">
        <f t="shared" si="6"/>
        <v>0.58333333333333337</v>
      </c>
      <c r="AE22" s="36">
        <f t="shared" si="7"/>
        <v>0.42753623188405798</v>
      </c>
      <c r="AF22" s="84">
        <f t="shared" si="8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0.42753623188405798</v>
      </c>
      <c r="AF23" s="84">
        <f t="shared" si="8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0.42753623188405798</v>
      </c>
      <c r="AF24" s="84">
        <f t="shared" si="8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0.42753623188405798</v>
      </c>
      <c r="AF25" s="84">
        <f t="shared" si="8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0.42753623188405798</v>
      </c>
      <c r="AF26" s="84">
        <f t="shared" si="8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0.42753623188405798</v>
      </c>
      <c r="AF27" s="84">
        <f t="shared" si="8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0.42753623188405798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9">SUM(I6:I28)</f>
        <v>3873300</v>
      </c>
      <c r="J29" s="19">
        <f t="shared" si="9"/>
        <v>515377</v>
      </c>
      <c r="K29" s="20">
        <f t="shared" si="9"/>
        <v>6240695</v>
      </c>
      <c r="L29" s="21">
        <f t="shared" si="9"/>
        <v>107943</v>
      </c>
      <c r="M29" s="20">
        <f t="shared" si="9"/>
        <v>107943</v>
      </c>
      <c r="N29" s="21">
        <f t="shared" si="9"/>
        <v>0</v>
      </c>
      <c r="O29" s="41">
        <f t="shared" si="1"/>
        <v>0</v>
      </c>
      <c r="P29" s="42">
        <f t="shared" ref="P29:AA29" si="10">SUM(P6:P28)</f>
        <v>236</v>
      </c>
      <c r="Q29" s="43">
        <f t="shared" si="10"/>
        <v>316</v>
      </c>
      <c r="R29" s="23">
        <f t="shared" si="10"/>
        <v>0</v>
      </c>
      <c r="S29" s="24">
        <f t="shared" si="10"/>
        <v>28</v>
      </c>
      <c r="T29" s="24">
        <f t="shared" si="10"/>
        <v>18</v>
      </c>
      <c r="U29" s="24">
        <f t="shared" si="10"/>
        <v>0</v>
      </c>
      <c r="V29" s="25">
        <f t="shared" si="10"/>
        <v>10</v>
      </c>
      <c r="W29" s="26">
        <f t="shared" si="10"/>
        <v>260</v>
      </c>
      <c r="X29" s="27">
        <f t="shared" si="10"/>
        <v>0</v>
      </c>
      <c r="Y29" s="27">
        <f t="shared" si="10"/>
        <v>0</v>
      </c>
      <c r="Z29" s="27">
        <f t="shared" si="10"/>
        <v>0</v>
      </c>
      <c r="AA29" s="27">
        <f t="shared" si="10"/>
        <v>0</v>
      </c>
      <c r="AB29" s="28">
        <f>AVERAGE(AB6:AB28)</f>
        <v>0.5714285714285714</v>
      </c>
      <c r="AC29" s="4">
        <f>AVERAGE(AC6:AC28)</f>
        <v>0.42753623188405798</v>
      </c>
      <c r="AD29" s="4">
        <f>AVERAGE(AD6:AD28)</f>
        <v>0.42753623188405798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222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227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135" t="s">
        <v>46</v>
      </c>
      <c r="D58" s="135" t="s">
        <v>47</v>
      </c>
      <c r="E58" s="135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135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137" t="s">
        <v>223</v>
      </c>
      <c r="D59" s="137" t="s">
        <v>155</v>
      </c>
      <c r="E59" s="137" t="s">
        <v>217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136" t="s">
        <v>116</v>
      </c>
      <c r="O59" s="143" t="s">
        <v>192</v>
      </c>
      <c r="P59" s="440" t="s">
        <v>121</v>
      </c>
      <c r="Q59" s="441"/>
      <c r="R59" s="440" t="s">
        <v>194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218</v>
      </c>
      <c r="B60" s="436"/>
      <c r="C60" s="137" t="s">
        <v>223</v>
      </c>
      <c r="D60" s="137"/>
      <c r="E60" s="137" t="s">
        <v>219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136" t="s">
        <v>112</v>
      </c>
      <c r="O60" s="143" t="s">
        <v>233</v>
      </c>
      <c r="P60" s="440" t="s">
        <v>129</v>
      </c>
      <c r="Q60" s="441"/>
      <c r="R60" s="440" t="s">
        <v>228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137" t="s">
        <v>148</v>
      </c>
      <c r="D61" s="137" t="s">
        <v>155</v>
      </c>
      <c r="E61" s="137" t="s">
        <v>188</v>
      </c>
      <c r="F61" s="437" t="s">
        <v>122</v>
      </c>
      <c r="G61" s="438"/>
      <c r="H61" s="438"/>
      <c r="I61" s="438"/>
      <c r="J61" s="438"/>
      <c r="K61" s="438"/>
      <c r="L61" s="438"/>
      <c r="M61" s="439"/>
      <c r="N61" s="136" t="s">
        <v>130</v>
      </c>
      <c r="O61" s="143" t="s">
        <v>199</v>
      </c>
      <c r="P61" s="440" t="s">
        <v>157</v>
      </c>
      <c r="Q61" s="441"/>
      <c r="R61" s="440" t="s">
        <v>229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116</v>
      </c>
      <c r="B62" s="436"/>
      <c r="C62" s="137" t="s">
        <v>191</v>
      </c>
      <c r="D62" s="137" t="s">
        <v>155</v>
      </c>
      <c r="E62" s="137" t="s">
        <v>189</v>
      </c>
      <c r="F62" s="437" t="s">
        <v>224</v>
      </c>
      <c r="G62" s="438"/>
      <c r="H62" s="438"/>
      <c r="I62" s="438"/>
      <c r="J62" s="438"/>
      <c r="K62" s="438"/>
      <c r="L62" s="438"/>
      <c r="M62" s="439"/>
      <c r="N62" s="136" t="s">
        <v>112</v>
      </c>
      <c r="O62" s="143" t="s">
        <v>225</v>
      </c>
      <c r="P62" s="440" t="s">
        <v>221</v>
      </c>
      <c r="Q62" s="441"/>
      <c r="R62" s="440" t="s">
        <v>230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116</v>
      </c>
      <c r="B63" s="436"/>
      <c r="C63" s="137" t="s">
        <v>199</v>
      </c>
      <c r="D63" s="137" t="s">
        <v>157</v>
      </c>
      <c r="E63" s="137" t="s">
        <v>198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136" t="s">
        <v>112</v>
      </c>
      <c r="O63" s="143" t="s">
        <v>187</v>
      </c>
      <c r="P63" s="440" t="s">
        <v>115</v>
      </c>
      <c r="Q63" s="441"/>
      <c r="R63" s="440" t="s">
        <v>231</v>
      </c>
      <c r="S63" s="442"/>
      <c r="T63" s="442"/>
      <c r="U63" s="441"/>
      <c r="V63" s="437" t="s">
        <v>122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137" t="s">
        <v>225</v>
      </c>
      <c r="D64" s="137" t="s">
        <v>221</v>
      </c>
      <c r="E64" s="137" t="s">
        <v>170</v>
      </c>
      <c r="F64" s="437" t="s">
        <v>226</v>
      </c>
      <c r="G64" s="438"/>
      <c r="H64" s="438"/>
      <c r="I64" s="438"/>
      <c r="J64" s="438"/>
      <c r="K64" s="438"/>
      <c r="L64" s="438"/>
      <c r="M64" s="439"/>
      <c r="N64" s="136" t="s">
        <v>112</v>
      </c>
      <c r="O64" s="143" t="s">
        <v>234</v>
      </c>
      <c r="P64" s="440" t="s">
        <v>115</v>
      </c>
      <c r="Q64" s="441"/>
      <c r="R64" s="440" t="s">
        <v>232</v>
      </c>
      <c r="S64" s="442"/>
      <c r="T64" s="442"/>
      <c r="U64" s="441"/>
      <c r="V64" s="437" t="s">
        <v>122</v>
      </c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 t="s">
        <v>116</v>
      </c>
      <c r="B65" s="436"/>
      <c r="C65" s="137" t="s">
        <v>196</v>
      </c>
      <c r="D65" s="137" t="s">
        <v>115</v>
      </c>
      <c r="E65" s="137" t="s">
        <v>195</v>
      </c>
      <c r="F65" s="437" t="s">
        <v>122</v>
      </c>
      <c r="G65" s="438"/>
      <c r="H65" s="438"/>
      <c r="I65" s="438"/>
      <c r="J65" s="438"/>
      <c r="K65" s="438"/>
      <c r="L65" s="438"/>
      <c r="M65" s="439"/>
      <c r="N65" s="136"/>
      <c r="O65" s="143"/>
      <c r="P65" s="440"/>
      <c r="Q65" s="441"/>
      <c r="R65" s="440"/>
      <c r="S65" s="442"/>
      <c r="T65" s="442"/>
      <c r="U65" s="441"/>
      <c r="V65" s="443"/>
      <c r="W65" s="443"/>
      <c r="X65" s="443"/>
      <c r="Y65" s="443"/>
      <c r="Z65" s="443"/>
      <c r="AA65" s="443"/>
      <c r="AB65" s="443"/>
      <c r="AC65" s="443"/>
      <c r="AD65" s="444"/>
    </row>
    <row r="66" spans="1:32" ht="27" customHeight="1">
      <c r="A66" s="453"/>
      <c r="B66" s="454"/>
      <c r="C66" s="140"/>
      <c r="D66" s="140"/>
      <c r="E66" s="137"/>
      <c r="F66" s="437"/>
      <c r="G66" s="438"/>
      <c r="H66" s="438"/>
      <c r="I66" s="438"/>
      <c r="J66" s="438"/>
      <c r="K66" s="438"/>
      <c r="L66" s="438"/>
      <c r="M66" s="439"/>
      <c r="N66" s="136"/>
      <c r="O66" s="143"/>
      <c r="P66" s="440"/>
      <c r="Q66" s="441"/>
      <c r="R66" s="440"/>
      <c r="S66" s="442"/>
      <c r="T66" s="442"/>
      <c r="U66" s="441"/>
      <c r="V66" s="443"/>
      <c r="W66" s="443"/>
      <c r="X66" s="443"/>
      <c r="Y66" s="443"/>
      <c r="Z66" s="443"/>
      <c r="AA66" s="443"/>
      <c r="AB66" s="443"/>
      <c r="AC66" s="443"/>
      <c r="AD66" s="444"/>
    </row>
    <row r="67" spans="1:32" ht="27" customHeight="1">
      <c r="A67" s="453"/>
      <c r="B67" s="454"/>
      <c r="C67" s="140"/>
      <c r="D67" s="140"/>
      <c r="E67" s="137"/>
      <c r="F67" s="437"/>
      <c r="G67" s="438"/>
      <c r="H67" s="438"/>
      <c r="I67" s="438"/>
      <c r="J67" s="438"/>
      <c r="K67" s="438"/>
      <c r="L67" s="438"/>
      <c r="M67" s="439"/>
      <c r="N67" s="136"/>
      <c r="O67" s="143"/>
      <c r="P67" s="436"/>
      <c r="Q67" s="436"/>
      <c r="R67" s="436"/>
      <c r="S67" s="436"/>
      <c r="T67" s="436"/>
      <c r="U67" s="436"/>
      <c r="V67" s="443"/>
      <c r="W67" s="443"/>
      <c r="X67" s="443"/>
      <c r="Y67" s="443"/>
      <c r="Z67" s="443"/>
      <c r="AA67" s="443"/>
      <c r="AB67" s="443"/>
      <c r="AC67" s="443"/>
      <c r="AD67" s="444"/>
      <c r="AF67" s="84">
        <f>8*3000</f>
        <v>24000</v>
      </c>
    </row>
    <row r="68" spans="1:32" ht="27" customHeight="1" thickBot="1">
      <c r="A68" s="445"/>
      <c r="B68" s="446"/>
      <c r="C68" s="138"/>
      <c r="D68" s="139"/>
      <c r="E68" s="138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235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141" t="s">
        <v>2</v>
      </c>
      <c r="D70" s="141" t="s">
        <v>37</v>
      </c>
      <c r="E70" s="141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141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145</v>
      </c>
      <c r="D71" s="145"/>
      <c r="E71" s="142"/>
      <c r="F71" s="464" t="s">
        <v>236</v>
      </c>
      <c r="G71" s="465"/>
      <c r="H71" s="465"/>
      <c r="I71" s="465"/>
      <c r="J71" s="465"/>
      <c r="K71" s="465" t="s">
        <v>146</v>
      </c>
      <c r="L71" s="465"/>
      <c r="M71" s="51" t="s">
        <v>214</v>
      </c>
      <c r="N71" s="466" t="s">
        <v>192</v>
      </c>
      <c r="O71" s="466"/>
      <c r="P71" s="467">
        <v>2000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112</v>
      </c>
      <c r="D72" s="145"/>
      <c r="E72" s="142" t="s">
        <v>221</v>
      </c>
      <c r="F72" s="464" t="s">
        <v>170</v>
      </c>
      <c r="G72" s="465"/>
      <c r="H72" s="465"/>
      <c r="I72" s="465"/>
      <c r="J72" s="465"/>
      <c r="K72" s="465" t="s">
        <v>132</v>
      </c>
      <c r="L72" s="465"/>
      <c r="M72" s="51" t="s">
        <v>214</v>
      </c>
      <c r="N72" s="466" t="s">
        <v>225</v>
      </c>
      <c r="O72" s="466"/>
      <c r="P72" s="467">
        <v>100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/>
      <c r="D73" s="145"/>
      <c r="E73" s="142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/>
      <c r="D74" s="145"/>
      <c r="E74" s="142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145"/>
      <c r="E75" s="142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145"/>
      <c r="E76" s="142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145"/>
      <c r="E77" s="142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145"/>
      <c r="E78" s="142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145"/>
      <c r="E79" s="142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145"/>
      <c r="E80" s="142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237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144" t="s">
        <v>2</v>
      </c>
      <c r="D82" s="144" t="s">
        <v>37</v>
      </c>
      <c r="E82" s="144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146"/>
      <c r="D83" s="146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145"/>
      <c r="D84" s="145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1">A84+1</f>
        <v>3</v>
      </c>
      <c r="B85" s="481"/>
      <c r="C85" s="145"/>
      <c r="D85" s="145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4</v>
      </c>
      <c r="B86" s="481"/>
      <c r="C86" s="145"/>
      <c r="D86" s="145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5</v>
      </c>
      <c r="B87" s="481"/>
      <c r="C87" s="145"/>
      <c r="D87" s="145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6</v>
      </c>
      <c r="B88" s="481"/>
      <c r="C88" s="145"/>
      <c r="D88" s="145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1"/>
        <v>7</v>
      </c>
      <c r="B89" s="481"/>
      <c r="C89" s="145"/>
      <c r="D89" s="145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238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6C35-6895-45BB-9B12-E5A404B87ADD}">
  <sheetPr codeName="Sheet4"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239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147" t="s">
        <v>17</v>
      </c>
      <c r="L5" s="147" t="s">
        <v>18</v>
      </c>
      <c r="M5" s="147" t="s">
        <v>19</v>
      </c>
      <c r="N5" s="14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218</v>
      </c>
      <c r="D6" s="52" t="s">
        <v>219</v>
      </c>
      <c r="E6" s="53" t="s">
        <v>219</v>
      </c>
      <c r="F6" s="30" t="s">
        <v>153</v>
      </c>
      <c r="G6" s="12">
        <v>1</v>
      </c>
      <c r="H6" s="13">
        <v>24</v>
      </c>
      <c r="I6" s="31">
        <v>3000</v>
      </c>
      <c r="J6" s="14">
        <v>2434</v>
      </c>
      <c r="K6" s="15">
        <f>L6+2771</f>
        <v>5205</v>
      </c>
      <c r="L6" s="15">
        <f>744+1690</f>
        <v>2434</v>
      </c>
      <c r="M6" s="15">
        <f t="shared" ref="M6:M27" si="0">L6-N6</f>
        <v>2434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12</v>
      </c>
      <c r="Q6" s="40">
        <f t="shared" ref="Q6:Q27" si="3">SUM(R6:AA6)</f>
        <v>12</v>
      </c>
      <c r="R6" s="7"/>
      <c r="S6" s="6">
        <v>3</v>
      </c>
      <c r="T6" s="16"/>
      <c r="U6" s="16"/>
      <c r="V6" s="17"/>
      <c r="W6" s="5">
        <v>9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0.5</v>
      </c>
      <c r="AD6" s="10">
        <f t="shared" ref="AD6:AD27" si="6">AC6*AB6*(1-O6)</f>
        <v>0.5</v>
      </c>
      <c r="AE6" s="36">
        <f t="shared" ref="AE6:AE27" si="7">$AD$28</f>
        <v>0.47348484848484845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155</v>
      </c>
      <c r="E7" s="53" t="s">
        <v>188</v>
      </c>
      <c r="F7" s="30" t="s">
        <v>153</v>
      </c>
      <c r="G7" s="12">
        <v>3</v>
      </c>
      <c r="H7" s="13">
        <v>24</v>
      </c>
      <c r="I7" s="31">
        <v>49000</v>
      </c>
      <c r="J7" s="14">
        <v>18687</v>
      </c>
      <c r="K7" s="15">
        <f>L7+17244</f>
        <v>35931</v>
      </c>
      <c r="L7" s="15">
        <f>3250*3+2979*3</f>
        <v>18687</v>
      </c>
      <c r="M7" s="15">
        <f t="shared" si="0"/>
        <v>18687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0.47348484848484845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116</v>
      </c>
      <c r="D8" s="52" t="s">
        <v>155</v>
      </c>
      <c r="E8" s="53" t="s">
        <v>189</v>
      </c>
      <c r="F8" s="30" t="s">
        <v>220</v>
      </c>
      <c r="G8" s="12">
        <v>2</v>
      </c>
      <c r="H8" s="13">
        <v>24</v>
      </c>
      <c r="I8" s="7">
        <v>10000</v>
      </c>
      <c r="J8" s="14">
        <v>7792</v>
      </c>
      <c r="K8" s="15">
        <f>L8+8122</f>
        <v>15914</v>
      </c>
      <c r="L8" s="15">
        <f>2059*2+1837*2</f>
        <v>7792</v>
      </c>
      <c r="M8" s="15">
        <f t="shared" si="0"/>
        <v>7792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0.47348484848484845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129</v>
      </c>
      <c r="E9" s="53" t="s">
        <v>228</v>
      </c>
      <c r="F9" s="30" t="s">
        <v>124</v>
      </c>
      <c r="G9" s="12">
        <v>1</v>
      </c>
      <c r="H9" s="13">
        <v>24</v>
      </c>
      <c r="I9" s="7">
        <v>35000</v>
      </c>
      <c r="J9" s="14">
        <v>5140</v>
      </c>
      <c r="K9" s="15">
        <f>L9</f>
        <v>5140</v>
      </c>
      <c r="L9" s="15">
        <f>2416+2724</f>
        <v>5140</v>
      </c>
      <c r="M9" s="15">
        <f t="shared" si="0"/>
        <v>5140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0.47348484848484845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130</v>
      </c>
      <c r="D10" s="52" t="s">
        <v>157</v>
      </c>
      <c r="E10" s="53" t="s">
        <v>229</v>
      </c>
      <c r="F10" s="30" t="s">
        <v>240</v>
      </c>
      <c r="G10" s="33">
        <v>2</v>
      </c>
      <c r="H10" s="35">
        <v>24</v>
      </c>
      <c r="I10" s="7">
        <v>2000</v>
      </c>
      <c r="J10" s="14">
        <v>4482</v>
      </c>
      <c r="K10" s="15">
        <f>L10</f>
        <v>4482</v>
      </c>
      <c r="L10" s="15">
        <f>954*2+1287*2</f>
        <v>4482</v>
      </c>
      <c r="M10" s="15">
        <f t="shared" si="0"/>
        <v>4482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>
        <v>5</v>
      </c>
      <c r="T10" s="16"/>
      <c r="U10" s="16"/>
      <c r="V10" s="17"/>
      <c r="W10" s="5">
        <v>8</v>
      </c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si="6"/>
        <v>0.45833333333333331</v>
      </c>
      <c r="AE10" s="36">
        <f t="shared" si="7"/>
        <v>0.47348484848484845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221</v>
      </c>
      <c r="E11" s="53" t="s">
        <v>230</v>
      </c>
      <c r="F11" s="30" t="s">
        <v>220</v>
      </c>
      <c r="G11" s="33">
        <v>2</v>
      </c>
      <c r="H11" s="35">
        <v>24</v>
      </c>
      <c r="I11" s="7">
        <v>1000</v>
      </c>
      <c r="J11" s="14">
        <v>2334</v>
      </c>
      <c r="K11" s="15">
        <f>L11</f>
        <v>2334</v>
      </c>
      <c r="L11" s="15">
        <f>1167*2</f>
        <v>2334</v>
      </c>
      <c r="M11" s="15">
        <f t="shared" si="0"/>
        <v>2334</v>
      </c>
      <c r="N11" s="15">
        <v>0</v>
      </c>
      <c r="O11" s="58">
        <f t="shared" si="1"/>
        <v>0</v>
      </c>
      <c r="P11" s="39">
        <f t="shared" si="2"/>
        <v>6</v>
      </c>
      <c r="Q11" s="40">
        <f t="shared" si="3"/>
        <v>18</v>
      </c>
      <c r="R11" s="7"/>
      <c r="S11" s="6"/>
      <c r="T11" s="16"/>
      <c r="U11" s="16"/>
      <c r="V11" s="17"/>
      <c r="W11" s="5">
        <v>18</v>
      </c>
      <c r="X11" s="16"/>
      <c r="Y11" s="16"/>
      <c r="Z11" s="16"/>
      <c r="AA11" s="18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6">
        <f t="shared" si="7"/>
        <v>0.47348484848484845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v>32000</v>
      </c>
      <c r="J12" s="5">
        <v>4250</v>
      </c>
      <c r="K12" s="15">
        <f>L12+2140+2088+3960+1869+3592+3607+2978+4572</f>
        <v>29056</v>
      </c>
      <c r="L12" s="15">
        <f>2139+229+1882</f>
        <v>4250</v>
      </c>
      <c r="M12" s="15">
        <f t="shared" si="0"/>
        <v>4250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0.47348484848484845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130</v>
      </c>
      <c r="D13" s="52" t="s">
        <v>115</v>
      </c>
      <c r="E13" s="53" t="s">
        <v>241</v>
      </c>
      <c r="F13" s="30" t="s">
        <v>144</v>
      </c>
      <c r="G13" s="33">
        <v>1</v>
      </c>
      <c r="H13" s="35">
        <v>22</v>
      </c>
      <c r="I13" s="7">
        <v>2000</v>
      </c>
      <c r="J13" s="14">
        <v>3145</v>
      </c>
      <c r="K13" s="15">
        <f>L13</f>
        <v>3145</v>
      </c>
      <c r="L13" s="15">
        <f>792+2353</f>
        <v>3145</v>
      </c>
      <c r="M13" s="15">
        <f t="shared" si="0"/>
        <v>3145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/>
      <c r="T13" s="16">
        <v>5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 t="shared" si="6"/>
        <v>0.79166666666666663</v>
      </c>
      <c r="AE13" s="36">
        <f t="shared" si="7"/>
        <v>0.47348484848484845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636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0.47348484848484845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0.47348484848484845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 t="s">
        <v>194</v>
      </c>
      <c r="F16" s="30" t="s">
        <v>132</v>
      </c>
      <c r="G16" s="12">
        <v>2</v>
      </c>
      <c r="H16" s="13">
        <v>24</v>
      </c>
      <c r="I16" s="7">
        <v>10000</v>
      </c>
      <c r="J16" s="14">
        <v>5696</v>
      </c>
      <c r="K16" s="15">
        <f>L16</f>
        <v>5696</v>
      </c>
      <c r="L16" s="15">
        <f>2848*2</f>
        <v>5696</v>
      </c>
      <c r="M16" s="15">
        <f t="shared" si="0"/>
        <v>5696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6">
        <f t="shared" si="7"/>
        <v>0.47348484848484845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155</v>
      </c>
      <c r="E17" s="53" t="s">
        <v>169</v>
      </c>
      <c r="F17" s="30" t="s">
        <v>159</v>
      </c>
      <c r="G17" s="12">
        <v>1</v>
      </c>
      <c r="H17" s="13">
        <v>24</v>
      </c>
      <c r="I17" s="7">
        <v>10000</v>
      </c>
      <c r="J17" s="14">
        <v>3287</v>
      </c>
      <c r="K17" s="15">
        <f>L17+3386+5752</f>
        <v>12425</v>
      </c>
      <c r="L17" s="15">
        <f>615+2672</f>
        <v>3287</v>
      </c>
      <c r="M17" s="15">
        <f t="shared" si="0"/>
        <v>3287</v>
      </c>
      <c r="N17" s="15">
        <v>0</v>
      </c>
      <c r="O17" s="58">
        <f t="shared" si="1"/>
        <v>0</v>
      </c>
      <c r="P17" s="39">
        <f t="shared" si="2"/>
        <v>15</v>
      </c>
      <c r="Q17" s="40">
        <f t="shared" si="3"/>
        <v>9</v>
      </c>
      <c r="R17" s="7"/>
      <c r="S17" s="6"/>
      <c r="T17" s="16"/>
      <c r="U17" s="16"/>
      <c r="V17" s="17"/>
      <c r="W17" s="5">
        <v>9</v>
      </c>
      <c r="X17" s="16"/>
      <c r="Y17" s="16"/>
      <c r="Z17" s="16"/>
      <c r="AA17" s="18"/>
      <c r="AB17" s="8">
        <f t="shared" si="4"/>
        <v>1</v>
      </c>
      <c r="AC17" s="9">
        <f t="shared" si="5"/>
        <v>0.625</v>
      </c>
      <c r="AD17" s="10">
        <f t="shared" si="6"/>
        <v>0.625</v>
      </c>
      <c r="AE17" s="36">
        <f t="shared" si="7"/>
        <v>0.47348484848484845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116</v>
      </c>
      <c r="D18" s="52" t="s">
        <v>115</v>
      </c>
      <c r="E18" s="53" t="s">
        <v>195</v>
      </c>
      <c r="F18" s="30" t="s">
        <v>144</v>
      </c>
      <c r="G18" s="33">
        <v>2</v>
      </c>
      <c r="H18" s="35">
        <v>24</v>
      </c>
      <c r="I18" s="7">
        <v>10000</v>
      </c>
      <c r="J18" s="14">
        <v>9418</v>
      </c>
      <c r="K18" s="15">
        <f>L18+9606</f>
        <v>19024</v>
      </c>
      <c r="L18" s="15">
        <f>2310*2+2399*2</f>
        <v>9418</v>
      </c>
      <c r="M18" s="15">
        <f t="shared" si="0"/>
        <v>9418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0.47348484848484845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232</v>
      </c>
      <c r="F19" s="30" t="s">
        <v>123</v>
      </c>
      <c r="G19" s="33">
        <v>1</v>
      </c>
      <c r="H19" s="35">
        <v>24</v>
      </c>
      <c r="I19" s="7">
        <v>500</v>
      </c>
      <c r="J19" s="14">
        <v>957</v>
      </c>
      <c r="K19" s="15">
        <f>L19</f>
        <v>957</v>
      </c>
      <c r="L19" s="15">
        <f>682+275</f>
        <v>957</v>
      </c>
      <c r="M19" s="15">
        <f t="shared" si="0"/>
        <v>957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/>
      <c r="T19" s="16"/>
      <c r="U19" s="16"/>
      <c r="V19" s="17"/>
      <c r="W19" s="5">
        <v>7</v>
      </c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6">
        <f t="shared" si="7"/>
        <v>0.47348484848484845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162</v>
      </c>
      <c r="F20" s="30" t="s">
        <v>147</v>
      </c>
      <c r="G20" s="33">
        <v>1</v>
      </c>
      <c r="H20" s="35">
        <v>24</v>
      </c>
      <c r="I20" s="7">
        <v>32000</v>
      </c>
      <c r="J20" s="14">
        <v>3422</v>
      </c>
      <c r="K20" s="15">
        <f>L20+3118+4990+4958+4394</f>
        <v>20882</v>
      </c>
      <c r="L20" s="15">
        <f>1033+2389</f>
        <v>3422</v>
      </c>
      <c r="M20" s="15">
        <f t="shared" si="0"/>
        <v>3422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0.47348484848484845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127</v>
      </c>
      <c r="F21" s="12" t="s">
        <v>114</v>
      </c>
      <c r="G21" s="12">
        <v>4</v>
      </c>
      <c r="H21" s="35">
        <v>20</v>
      </c>
      <c r="I21" s="7">
        <v>1000000</v>
      </c>
      <c r="J21" s="14">
        <v>54628</v>
      </c>
      <c r="K21" s="15">
        <f>L21+50740+61508+62116+62068+58848+54656+61696+61724+33064+28160+54396+62000+61828+61480+59956+61580+19568+54948+62132+27348+33480+32292+31552+30000</f>
        <v>1241768</v>
      </c>
      <c r="L21" s="15">
        <f>6115*4+7542*4</f>
        <v>54628</v>
      </c>
      <c r="M21" s="15">
        <f t="shared" si="0"/>
        <v>54628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/>
      <c r="T21" s="16"/>
      <c r="U21" s="16"/>
      <c r="V21" s="17">
        <v>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0.47348484848484845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0.47348484848484845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0.47348484848484845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0.47348484848484845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0.47348484848484845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0.47348484848484845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0.47348484848484845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3868600</v>
      </c>
      <c r="J28" s="19">
        <f t="shared" si="9"/>
        <v>519216</v>
      </c>
      <c r="K28" s="20">
        <f t="shared" si="9"/>
        <v>6301799</v>
      </c>
      <c r="L28" s="21">
        <f t="shared" si="9"/>
        <v>125672</v>
      </c>
      <c r="M28" s="20">
        <f t="shared" si="9"/>
        <v>125672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250</v>
      </c>
      <c r="Q28" s="43">
        <f t="shared" si="10"/>
        <v>278</v>
      </c>
      <c r="R28" s="23">
        <f t="shared" si="10"/>
        <v>0</v>
      </c>
      <c r="S28" s="24">
        <f t="shared" si="10"/>
        <v>52</v>
      </c>
      <c r="T28" s="24">
        <f t="shared" si="10"/>
        <v>5</v>
      </c>
      <c r="U28" s="24">
        <f t="shared" si="10"/>
        <v>0</v>
      </c>
      <c r="V28" s="25">
        <f t="shared" si="10"/>
        <v>2</v>
      </c>
      <c r="W28" s="26">
        <f t="shared" si="10"/>
        <v>219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0.7</v>
      </c>
      <c r="AC28" s="4">
        <f>AVERAGE(AC6:AC27)</f>
        <v>0.47348484848484845</v>
      </c>
      <c r="AD28" s="4">
        <f>AVERAGE(AD6:AD27)</f>
        <v>0.47348484848484845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242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247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148" t="s">
        <v>46</v>
      </c>
      <c r="D57" s="148" t="s">
        <v>47</v>
      </c>
      <c r="E57" s="148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148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218</v>
      </c>
      <c r="B58" s="436"/>
      <c r="C58" s="150" t="s">
        <v>223</v>
      </c>
      <c r="D58" s="150"/>
      <c r="E58" s="150" t="s">
        <v>219</v>
      </c>
      <c r="F58" s="437" t="s">
        <v>243</v>
      </c>
      <c r="G58" s="438"/>
      <c r="H58" s="438"/>
      <c r="I58" s="438"/>
      <c r="J58" s="438"/>
      <c r="K58" s="438"/>
      <c r="L58" s="438"/>
      <c r="M58" s="439"/>
      <c r="N58" s="149" t="s">
        <v>112</v>
      </c>
      <c r="O58" s="156" t="s">
        <v>187</v>
      </c>
      <c r="P58" s="440" t="s">
        <v>115</v>
      </c>
      <c r="Q58" s="441"/>
      <c r="R58" s="440" t="s">
        <v>231</v>
      </c>
      <c r="S58" s="442"/>
      <c r="T58" s="442"/>
      <c r="U58" s="441"/>
      <c r="V58" s="437" t="s">
        <v>226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112</v>
      </c>
      <c r="B59" s="436"/>
      <c r="C59" s="150" t="s">
        <v>233</v>
      </c>
      <c r="D59" s="150" t="s">
        <v>129</v>
      </c>
      <c r="E59" s="150" t="s">
        <v>228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149" t="s">
        <v>112</v>
      </c>
      <c r="O59" s="156" t="s">
        <v>223</v>
      </c>
      <c r="P59" s="440" t="s">
        <v>155</v>
      </c>
      <c r="Q59" s="441"/>
      <c r="R59" s="440" t="s">
        <v>248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150" t="s">
        <v>225</v>
      </c>
      <c r="D60" s="150" t="s">
        <v>221</v>
      </c>
      <c r="E60" s="150" t="s">
        <v>230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149" t="s">
        <v>112</v>
      </c>
      <c r="O60" s="156" t="s">
        <v>225</v>
      </c>
      <c r="P60" s="440" t="s">
        <v>129</v>
      </c>
      <c r="Q60" s="441"/>
      <c r="R60" s="440" t="s">
        <v>249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150" t="s">
        <v>191</v>
      </c>
      <c r="D61" s="150" t="s">
        <v>155</v>
      </c>
      <c r="E61" s="150" t="s">
        <v>189</v>
      </c>
      <c r="F61" s="437" t="s">
        <v>244</v>
      </c>
      <c r="G61" s="438"/>
      <c r="H61" s="438"/>
      <c r="I61" s="438"/>
      <c r="J61" s="438"/>
      <c r="K61" s="438"/>
      <c r="L61" s="438"/>
      <c r="M61" s="439"/>
      <c r="N61" s="149" t="s">
        <v>130</v>
      </c>
      <c r="O61" s="156" t="s">
        <v>245</v>
      </c>
      <c r="P61" s="440" t="s">
        <v>251</v>
      </c>
      <c r="Q61" s="441"/>
      <c r="R61" s="440" t="s">
        <v>250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130</v>
      </c>
      <c r="B62" s="436"/>
      <c r="C62" s="150" t="s">
        <v>199</v>
      </c>
      <c r="D62" s="150" t="s">
        <v>157</v>
      </c>
      <c r="E62" s="150" t="s">
        <v>229</v>
      </c>
      <c r="F62" s="437" t="s">
        <v>122</v>
      </c>
      <c r="G62" s="438"/>
      <c r="H62" s="438"/>
      <c r="I62" s="438"/>
      <c r="J62" s="438"/>
      <c r="K62" s="438"/>
      <c r="L62" s="438"/>
      <c r="M62" s="439"/>
      <c r="N62" s="149"/>
      <c r="O62" s="156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130</v>
      </c>
      <c r="B63" s="436"/>
      <c r="C63" s="150" t="s">
        <v>245</v>
      </c>
      <c r="D63" s="150" t="s">
        <v>115</v>
      </c>
      <c r="E63" s="150" t="s">
        <v>241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149"/>
      <c r="O63" s="156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116</v>
      </c>
      <c r="B64" s="436"/>
      <c r="C64" s="150" t="s">
        <v>192</v>
      </c>
      <c r="D64" s="150" t="s">
        <v>121</v>
      </c>
      <c r="E64" s="150" t="s">
        <v>194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149"/>
      <c r="O64" s="156"/>
      <c r="P64" s="440"/>
      <c r="Q64" s="441"/>
      <c r="R64" s="440"/>
      <c r="S64" s="442"/>
      <c r="T64" s="442"/>
      <c r="U64" s="441"/>
      <c r="V64" s="443"/>
      <c r="W64" s="443"/>
      <c r="X64" s="443"/>
      <c r="Y64" s="443"/>
      <c r="Z64" s="443"/>
      <c r="AA64" s="443"/>
      <c r="AB64" s="443"/>
      <c r="AC64" s="443"/>
      <c r="AD64" s="444"/>
    </row>
    <row r="65" spans="1:32" ht="27" customHeight="1">
      <c r="A65" s="453" t="s">
        <v>112</v>
      </c>
      <c r="B65" s="454"/>
      <c r="C65" s="153" t="s">
        <v>234</v>
      </c>
      <c r="D65" s="153" t="s">
        <v>115</v>
      </c>
      <c r="E65" s="150" t="s">
        <v>232</v>
      </c>
      <c r="F65" s="437" t="s">
        <v>122</v>
      </c>
      <c r="G65" s="438"/>
      <c r="H65" s="438"/>
      <c r="I65" s="438"/>
      <c r="J65" s="438"/>
      <c r="K65" s="438"/>
      <c r="L65" s="438"/>
      <c r="M65" s="439"/>
      <c r="N65" s="149"/>
      <c r="O65" s="156"/>
      <c r="P65" s="440"/>
      <c r="Q65" s="441"/>
      <c r="R65" s="440"/>
      <c r="S65" s="442"/>
      <c r="T65" s="442"/>
      <c r="U65" s="441"/>
      <c r="V65" s="443"/>
      <c r="W65" s="443"/>
      <c r="X65" s="443"/>
      <c r="Y65" s="443"/>
      <c r="Z65" s="443"/>
      <c r="AA65" s="443"/>
      <c r="AB65" s="443"/>
      <c r="AC65" s="443"/>
      <c r="AD65" s="444"/>
    </row>
    <row r="66" spans="1:32" ht="27" customHeight="1">
      <c r="A66" s="453" t="s">
        <v>112</v>
      </c>
      <c r="B66" s="454"/>
      <c r="C66" s="153" t="s">
        <v>187</v>
      </c>
      <c r="D66" s="153" t="s">
        <v>115</v>
      </c>
      <c r="E66" s="150" t="s">
        <v>231</v>
      </c>
      <c r="F66" s="437" t="s">
        <v>246</v>
      </c>
      <c r="G66" s="438"/>
      <c r="H66" s="438"/>
      <c r="I66" s="438"/>
      <c r="J66" s="438"/>
      <c r="K66" s="438"/>
      <c r="L66" s="438"/>
      <c r="M66" s="439"/>
      <c r="N66" s="149"/>
      <c r="O66" s="156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151"/>
      <c r="D67" s="152"/>
      <c r="E67" s="151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252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154" t="s">
        <v>2</v>
      </c>
      <c r="D69" s="154" t="s">
        <v>37</v>
      </c>
      <c r="E69" s="154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154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/>
      <c r="D70" s="158"/>
      <c r="E70" s="155"/>
      <c r="F70" s="464"/>
      <c r="G70" s="465"/>
      <c r="H70" s="465"/>
      <c r="I70" s="465"/>
      <c r="J70" s="465"/>
      <c r="K70" s="465"/>
      <c r="L70" s="465"/>
      <c r="M70" s="51"/>
      <c r="N70" s="466"/>
      <c r="O70" s="466"/>
      <c r="P70" s="467"/>
      <c r="Q70" s="467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/>
      <c r="D71" s="158"/>
      <c r="E71" s="155"/>
      <c r="F71" s="464"/>
      <c r="G71" s="465"/>
      <c r="H71" s="465"/>
      <c r="I71" s="465"/>
      <c r="J71" s="465"/>
      <c r="K71" s="465"/>
      <c r="L71" s="465"/>
      <c r="M71" s="51"/>
      <c r="N71" s="466"/>
      <c r="O71" s="466"/>
      <c r="P71" s="467"/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/>
      <c r="D72" s="158"/>
      <c r="E72" s="155"/>
      <c r="F72" s="469"/>
      <c r="G72" s="470"/>
      <c r="H72" s="470"/>
      <c r="I72" s="470"/>
      <c r="J72" s="471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158"/>
      <c r="E73" s="155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158"/>
      <c r="E74" s="155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158"/>
      <c r="E75" s="155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158"/>
      <c r="E76" s="155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158"/>
      <c r="E77" s="155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158"/>
      <c r="E78" s="155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158"/>
      <c r="E79" s="155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253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157" t="s">
        <v>2</v>
      </c>
      <c r="D81" s="157" t="s">
        <v>37</v>
      </c>
      <c r="E81" s="157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159"/>
      <c r="D82" s="159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158"/>
      <c r="D83" s="158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158"/>
      <c r="D84" s="158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158"/>
      <c r="D85" s="158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158"/>
      <c r="D86" s="158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158"/>
      <c r="D87" s="158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158"/>
      <c r="D88" s="158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254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91B0-4737-40CA-8790-85561CB444BD}">
  <sheetPr codeName="Sheet5">
    <pageSetUpPr fitToPage="1"/>
  </sheetPr>
  <dimension ref="A1:AF94"/>
  <sheetViews>
    <sheetView view="pageBreakPreview" zoomScale="70" zoomScaleNormal="72" zoomScaleSheetLayoutView="70" workbookViewId="0">
      <selection activeCell="K85" sqref="K85:S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255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172" t="s">
        <v>17</v>
      </c>
      <c r="L5" s="172" t="s">
        <v>18</v>
      </c>
      <c r="M5" s="172" t="s">
        <v>19</v>
      </c>
      <c r="N5" s="17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248</v>
      </c>
      <c r="F6" s="30" t="s">
        <v>159</v>
      </c>
      <c r="G6" s="12">
        <v>2</v>
      </c>
      <c r="H6" s="13">
        <v>24</v>
      </c>
      <c r="I6" s="31">
        <v>300</v>
      </c>
      <c r="J6" s="14">
        <v>1034</v>
      </c>
      <c r="K6" s="15">
        <f>L6</f>
        <v>1034</v>
      </c>
      <c r="L6" s="15">
        <f>517*2</f>
        <v>1034</v>
      </c>
      <c r="M6" s="15">
        <f t="shared" ref="M6:M28" si="0">L6-N6</f>
        <v>1034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4</v>
      </c>
      <c r="Q6" s="40">
        <f t="shared" ref="Q6:Q28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0.16666666666666666</v>
      </c>
      <c r="AD6" s="10">
        <f t="shared" ref="AD6:AD28" si="6">AC6*AB6*(1-O6)</f>
        <v>0.16666666666666666</v>
      </c>
      <c r="AE6" s="36">
        <f t="shared" ref="AE6:AE28" si="7">$AD$29</f>
        <v>0.33876811594202905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155</v>
      </c>
      <c r="E7" s="53" t="s">
        <v>188</v>
      </c>
      <c r="F7" s="30" t="s">
        <v>153</v>
      </c>
      <c r="G7" s="12">
        <v>3</v>
      </c>
      <c r="H7" s="13">
        <v>24</v>
      </c>
      <c r="I7" s="31">
        <v>49000</v>
      </c>
      <c r="J7" s="14">
        <v>19389</v>
      </c>
      <c r="K7" s="15">
        <f>L7+17244+18687</f>
        <v>55320</v>
      </c>
      <c r="L7" s="15">
        <f>3169*3+3294*3</f>
        <v>19389</v>
      </c>
      <c r="M7" s="15">
        <f t="shared" si="0"/>
        <v>19389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0.33876811594202905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116</v>
      </c>
      <c r="D8" s="52" t="s">
        <v>155</v>
      </c>
      <c r="E8" s="53" t="s">
        <v>189</v>
      </c>
      <c r="F8" s="30" t="s">
        <v>220</v>
      </c>
      <c r="G8" s="12">
        <v>2</v>
      </c>
      <c r="H8" s="13">
        <v>24</v>
      </c>
      <c r="I8" s="7">
        <v>10000</v>
      </c>
      <c r="J8" s="14">
        <v>3590</v>
      </c>
      <c r="K8" s="15">
        <f>L8+8122+7792</f>
        <v>19504</v>
      </c>
      <c r="L8" s="15">
        <f>1795*2</f>
        <v>3590</v>
      </c>
      <c r="M8" s="15">
        <f t="shared" si="0"/>
        <v>3590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/>
      <c r="W8" s="5">
        <v>17</v>
      </c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6"/>
        <v>0.29166666666666669</v>
      </c>
      <c r="AE8" s="36">
        <f t="shared" si="7"/>
        <v>0.33876811594202905</v>
      </c>
      <c r="AF8" s="84">
        <f t="shared" si="8"/>
        <v>3</v>
      </c>
    </row>
    <row r="9" spans="1:32" ht="27" customHeight="1">
      <c r="A9" s="112">
        <v>3</v>
      </c>
      <c r="B9" s="11" t="s">
        <v>57</v>
      </c>
      <c r="C9" s="34" t="s">
        <v>256</v>
      </c>
      <c r="D9" s="52"/>
      <c r="E9" s="53" t="s">
        <v>257</v>
      </c>
      <c r="F9" s="30" t="s">
        <v>258</v>
      </c>
      <c r="G9" s="12">
        <v>1</v>
      </c>
      <c r="H9" s="13">
        <v>24</v>
      </c>
      <c r="I9" s="7">
        <v>20000</v>
      </c>
      <c r="J9" s="14">
        <v>3288</v>
      </c>
      <c r="K9" s="15">
        <f>L9</f>
        <v>3288</v>
      </c>
      <c r="L9" s="15">
        <f>458+2830</f>
        <v>3288</v>
      </c>
      <c r="M9" s="15">
        <f t="shared" ref="M9" si="9">L9-N9</f>
        <v>3288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14</v>
      </c>
      <c r="Q9" s="40">
        <f t="shared" ref="Q9" si="12">SUM(R9:AA9)</f>
        <v>10</v>
      </c>
      <c r="R9" s="7"/>
      <c r="S9" s="6"/>
      <c r="T9" s="16">
        <v>10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0.58333333333333337</v>
      </c>
      <c r="AD9" s="10">
        <f t="shared" ref="AD9" si="15">AC9*AB9*(1-O9)</f>
        <v>0.58333333333333337</v>
      </c>
      <c r="AE9" s="36">
        <f t="shared" si="7"/>
        <v>0.33876811594202905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112</v>
      </c>
      <c r="D10" s="52" t="s">
        <v>129</v>
      </c>
      <c r="E10" s="53" t="s">
        <v>228</v>
      </c>
      <c r="F10" s="30" t="s">
        <v>124</v>
      </c>
      <c r="G10" s="12">
        <v>1</v>
      </c>
      <c r="H10" s="13">
        <v>24</v>
      </c>
      <c r="I10" s="7">
        <v>35000</v>
      </c>
      <c r="J10" s="14">
        <v>2859</v>
      </c>
      <c r="K10" s="15">
        <f>L10+5140</f>
        <v>7999</v>
      </c>
      <c r="L10" s="15">
        <f>2159+700</f>
        <v>2859</v>
      </c>
      <c r="M10" s="15">
        <f t="shared" si="0"/>
        <v>2859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6"/>
        <v>0.58333333333333337</v>
      </c>
      <c r="AE10" s="36">
        <f t="shared" si="7"/>
        <v>0.33876811594202905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130</v>
      </c>
      <c r="D11" s="52" t="s">
        <v>157</v>
      </c>
      <c r="E11" s="53" t="s">
        <v>229</v>
      </c>
      <c r="F11" s="30" t="s">
        <v>240</v>
      </c>
      <c r="G11" s="33">
        <v>2</v>
      </c>
      <c r="H11" s="35">
        <v>24</v>
      </c>
      <c r="I11" s="7">
        <v>2000</v>
      </c>
      <c r="J11" s="14">
        <v>4482</v>
      </c>
      <c r="K11" s="15">
        <f>L11+4482</f>
        <v>4482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0.33876811594202905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259</v>
      </c>
      <c r="E12" s="53" t="s">
        <v>260</v>
      </c>
      <c r="F12" s="30" t="s">
        <v>144</v>
      </c>
      <c r="G12" s="33">
        <v>2</v>
      </c>
      <c r="H12" s="35">
        <v>24</v>
      </c>
      <c r="I12" s="7">
        <v>6000</v>
      </c>
      <c r="J12" s="14">
        <v>6140</v>
      </c>
      <c r="K12" s="15">
        <f>L12</f>
        <v>6140</v>
      </c>
      <c r="L12" s="15">
        <f>470*2+2600*2</f>
        <v>6140</v>
      </c>
      <c r="M12" s="15">
        <f t="shared" si="0"/>
        <v>6140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/>
      <c r="T12" s="16">
        <v>8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0.66666666666666663</v>
      </c>
      <c r="AD12" s="10">
        <f t="shared" si="6"/>
        <v>0.66666666666666663</v>
      </c>
      <c r="AE12" s="36">
        <f t="shared" si="7"/>
        <v>0.33876811594202905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112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v>32000</v>
      </c>
      <c r="J13" s="5">
        <v>4250</v>
      </c>
      <c r="K13" s="15">
        <f>L13+2140+2088+3960+1869+3592+3607+2978+4572+4250</f>
        <v>29056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0.33876811594202905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130</v>
      </c>
      <c r="D14" s="52" t="s">
        <v>115</v>
      </c>
      <c r="E14" s="53" t="s">
        <v>261</v>
      </c>
      <c r="F14" s="30" t="s">
        <v>144</v>
      </c>
      <c r="G14" s="33">
        <v>1</v>
      </c>
      <c r="H14" s="35">
        <v>22</v>
      </c>
      <c r="I14" s="7">
        <v>2000</v>
      </c>
      <c r="J14" s="14">
        <v>3172</v>
      </c>
      <c r="K14" s="15">
        <f>L14</f>
        <v>3172</v>
      </c>
      <c r="L14" s="15">
        <f>1408+1764</f>
        <v>3172</v>
      </c>
      <c r="M14" s="15">
        <f t="shared" si="0"/>
        <v>3172</v>
      </c>
      <c r="N14" s="15">
        <v>0</v>
      </c>
      <c r="O14" s="58">
        <f t="shared" si="1"/>
        <v>0</v>
      </c>
      <c r="P14" s="39">
        <f t="shared" si="2"/>
        <v>19</v>
      </c>
      <c r="Q14" s="40">
        <f t="shared" si="3"/>
        <v>5</v>
      </c>
      <c r="R14" s="7"/>
      <c r="S14" s="6"/>
      <c r="T14" s="16">
        <v>5</v>
      </c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0.79166666666666663</v>
      </c>
      <c r="AD14" s="10">
        <f t="shared" si="6"/>
        <v>0.79166666666666663</v>
      </c>
      <c r="AE14" s="36">
        <f t="shared" si="7"/>
        <v>0.33876811594202905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231</v>
      </c>
      <c r="F15" s="30" t="s">
        <v>159</v>
      </c>
      <c r="G15" s="33">
        <v>1</v>
      </c>
      <c r="H15" s="35">
        <v>30</v>
      </c>
      <c r="I15" s="7">
        <v>100</v>
      </c>
      <c r="J15" s="5">
        <v>214</v>
      </c>
      <c r="K15" s="15">
        <f>L15</f>
        <v>214</v>
      </c>
      <c r="L15" s="15">
        <v>214</v>
      </c>
      <c r="M15" s="15">
        <f t="shared" si="0"/>
        <v>214</v>
      </c>
      <c r="N15" s="15">
        <v>0</v>
      </c>
      <c r="O15" s="58">
        <f t="shared" si="1"/>
        <v>0</v>
      </c>
      <c r="P15" s="39">
        <f t="shared" si="2"/>
        <v>4</v>
      </c>
      <c r="Q15" s="40">
        <f t="shared" si="3"/>
        <v>20</v>
      </c>
      <c r="R15" s="7"/>
      <c r="S15" s="6"/>
      <c r="T15" s="16"/>
      <c r="U15" s="16"/>
      <c r="V15" s="17"/>
      <c r="W15" s="5">
        <v>20</v>
      </c>
      <c r="X15" s="16"/>
      <c r="Y15" s="16"/>
      <c r="Z15" s="16"/>
      <c r="AA15" s="18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6">
        <f t="shared" si="7"/>
        <v>0.33876811594202905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0.33876811594202905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116</v>
      </c>
      <c r="D17" s="52" t="s">
        <v>121</v>
      </c>
      <c r="E17" s="53" t="s">
        <v>194</v>
      </c>
      <c r="F17" s="30" t="s">
        <v>132</v>
      </c>
      <c r="G17" s="12">
        <v>2</v>
      </c>
      <c r="H17" s="13">
        <v>24</v>
      </c>
      <c r="I17" s="7">
        <v>10000</v>
      </c>
      <c r="J17" s="14">
        <v>11018</v>
      </c>
      <c r="K17" s="15">
        <f>L17+5696</f>
        <v>16714</v>
      </c>
      <c r="L17" s="15">
        <f>2646*2+2863*2</f>
        <v>11018</v>
      </c>
      <c r="M17" s="15">
        <f t="shared" si="0"/>
        <v>11018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0.33876811594202905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155</v>
      </c>
      <c r="E18" s="53" t="s">
        <v>169</v>
      </c>
      <c r="F18" s="30" t="s">
        <v>159</v>
      </c>
      <c r="G18" s="12">
        <v>1</v>
      </c>
      <c r="H18" s="13">
        <v>24</v>
      </c>
      <c r="I18" s="7">
        <v>10000</v>
      </c>
      <c r="J18" s="14">
        <v>3287</v>
      </c>
      <c r="K18" s="15">
        <f>L18+3386+5752+3287</f>
        <v>12425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0.33876811594202905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262</v>
      </c>
      <c r="F19" s="30" t="s">
        <v>123</v>
      </c>
      <c r="G19" s="33">
        <v>2</v>
      </c>
      <c r="H19" s="35">
        <v>24</v>
      </c>
      <c r="I19" s="7">
        <v>6000</v>
      </c>
      <c r="J19" s="14">
        <v>4700</v>
      </c>
      <c r="K19" s="15">
        <f>L19</f>
        <v>4700</v>
      </c>
      <c r="L19" s="15">
        <f>2350*2</f>
        <v>4700</v>
      </c>
      <c r="M19" s="15">
        <f t="shared" si="0"/>
        <v>4700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/>
      <c r="T19" s="16">
        <v>11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6">
        <f t="shared" si="7"/>
        <v>0.33876811594202905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232</v>
      </c>
      <c r="F20" s="30" t="s">
        <v>123</v>
      </c>
      <c r="G20" s="33">
        <v>1</v>
      </c>
      <c r="H20" s="35">
        <v>24</v>
      </c>
      <c r="I20" s="7">
        <v>500</v>
      </c>
      <c r="J20" s="14">
        <v>957</v>
      </c>
      <c r="K20" s="15">
        <f>L20+957</f>
        <v>957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0.33876811594202905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162</v>
      </c>
      <c r="F21" s="30" t="s">
        <v>147</v>
      </c>
      <c r="G21" s="33">
        <v>1</v>
      </c>
      <c r="H21" s="35">
        <v>24</v>
      </c>
      <c r="I21" s="7">
        <v>32000</v>
      </c>
      <c r="J21" s="14">
        <v>5004</v>
      </c>
      <c r="K21" s="15">
        <f>L21+3118+4990+4958+4394+3422</f>
        <v>25886</v>
      </c>
      <c r="L21" s="15">
        <f>2478+2526</f>
        <v>5004</v>
      </c>
      <c r="M21" s="15">
        <f t="shared" si="0"/>
        <v>5004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0.33876811594202905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127</v>
      </c>
      <c r="F22" s="12" t="s">
        <v>114</v>
      </c>
      <c r="G22" s="12">
        <v>4</v>
      </c>
      <c r="H22" s="35">
        <v>20</v>
      </c>
      <c r="I22" s="7">
        <v>1000000</v>
      </c>
      <c r="J22" s="14">
        <v>60676</v>
      </c>
      <c r="K22" s="15">
        <f>L22+50740+61508+62116+62068+58848+54656+61696+61724+33064+28160+54396+62000+61828+61480+59956+61580+19568+54948+62132+27348+33480+32292+31552+30000+54628</f>
        <v>1302444</v>
      </c>
      <c r="L22" s="15">
        <f>7525*4+7644*4</f>
        <v>60676</v>
      </c>
      <c r="M22" s="15">
        <f t="shared" si="0"/>
        <v>60676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0.33876811594202905</v>
      </c>
      <c r="AF22" s="84">
        <f t="shared" si="8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0.33876811594202905</v>
      </c>
      <c r="AF23" s="84">
        <f t="shared" si="8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0.33876811594202905</v>
      </c>
      <c r="AF24" s="84">
        <f t="shared" si="8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0.33876811594202905</v>
      </c>
      <c r="AF25" s="84">
        <f t="shared" si="8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0.33876811594202905</v>
      </c>
      <c r="AF26" s="84">
        <f t="shared" si="8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0.33876811594202905</v>
      </c>
      <c r="AF27" s="84">
        <f t="shared" si="8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0.33876811594202905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7">SUM(I6:I28)</f>
        <v>3886900</v>
      </c>
      <c r="J29" s="19">
        <f t="shared" si="17"/>
        <v>526968</v>
      </c>
      <c r="K29" s="20">
        <f t="shared" si="17"/>
        <v>6393175</v>
      </c>
      <c r="L29" s="21">
        <f t="shared" si="17"/>
        <v>121084</v>
      </c>
      <c r="M29" s="20">
        <f t="shared" si="17"/>
        <v>121084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187</v>
      </c>
      <c r="Q29" s="43">
        <f t="shared" si="18"/>
        <v>365</v>
      </c>
      <c r="R29" s="23">
        <f t="shared" si="18"/>
        <v>0</v>
      </c>
      <c r="S29" s="24">
        <f t="shared" si="18"/>
        <v>34</v>
      </c>
      <c r="T29" s="24">
        <f t="shared" si="18"/>
        <v>34</v>
      </c>
      <c r="U29" s="24">
        <f t="shared" si="18"/>
        <v>0</v>
      </c>
      <c r="V29" s="25">
        <f t="shared" si="18"/>
        <v>0</v>
      </c>
      <c r="W29" s="26">
        <f t="shared" si="18"/>
        <v>297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0</v>
      </c>
      <c r="AB29" s="28">
        <f>AVERAGE(AB6:AB28)</f>
        <v>0.5714285714285714</v>
      </c>
      <c r="AC29" s="4">
        <f>AVERAGE(AC6:AC28)</f>
        <v>0.33876811594202905</v>
      </c>
      <c r="AD29" s="4">
        <f>AVERAGE(AD6:AD28)</f>
        <v>0.33876811594202905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263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265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171" t="s">
        <v>46</v>
      </c>
      <c r="D58" s="171" t="s">
        <v>47</v>
      </c>
      <c r="E58" s="171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171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167" t="s">
        <v>223</v>
      </c>
      <c r="D59" s="167" t="s">
        <v>155</v>
      </c>
      <c r="E59" s="167" t="s">
        <v>248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170" t="s">
        <v>112</v>
      </c>
      <c r="O59" s="164" t="s">
        <v>233</v>
      </c>
      <c r="P59" s="440" t="s">
        <v>129</v>
      </c>
      <c r="Q59" s="441"/>
      <c r="R59" s="440" t="s">
        <v>228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256</v>
      </c>
      <c r="B60" s="436"/>
      <c r="C60" s="167" t="s">
        <v>191</v>
      </c>
      <c r="D60" s="167"/>
      <c r="E60" s="167" t="s">
        <v>257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170" t="s">
        <v>112</v>
      </c>
      <c r="O60" s="164" t="s">
        <v>154</v>
      </c>
      <c r="P60" s="440" t="s">
        <v>115</v>
      </c>
      <c r="Q60" s="441"/>
      <c r="R60" s="440" t="s">
        <v>164</v>
      </c>
      <c r="S60" s="442"/>
      <c r="T60" s="442"/>
      <c r="U60" s="441"/>
      <c r="V60" s="437" t="s">
        <v>226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167" t="s">
        <v>225</v>
      </c>
      <c r="D61" s="167" t="s">
        <v>259</v>
      </c>
      <c r="E61" s="167" t="s">
        <v>260</v>
      </c>
      <c r="F61" s="437" t="s">
        <v>122</v>
      </c>
      <c r="G61" s="438"/>
      <c r="H61" s="438"/>
      <c r="I61" s="438"/>
      <c r="J61" s="438"/>
      <c r="K61" s="438"/>
      <c r="L61" s="438"/>
      <c r="M61" s="439"/>
      <c r="N61" s="170" t="s">
        <v>112</v>
      </c>
      <c r="O61" s="164" t="s">
        <v>234</v>
      </c>
      <c r="P61" s="440" t="s">
        <v>115</v>
      </c>
      <c r="Q61" s="441"/>
      <c r="R61" s="440" t="s">
        <v>232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130</v>
      </c>
      <c r="B62" s="436"/>
      <c r="C62" s="167" t="s">
        <v>245</v>
      </c>
      <c r="D62" s="167" t="s">
        <v>115</v>
      </c>
      <c r="E62" s="167" t="s">
        <v>261</v>
      </c>
      <c r="F62" s="437" t="s">
        <v>122</v>
      </c>
      <c r="G62" s="438"/>
      <c r="H62" s="438"/>
      <c r="I62" s="438"/>
      <c r="J62" s="438"/>
      <c r="K62" s="438"/>
      <c r="L62" s="438"/>
      <c r="M62" s="439"/>
      <c r="N62" s="170"/>
      <c r="O62" s="164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53" t="s">
        <v>112</v>
      </c>
      <c r="B63" s="454"/>
      <c r="C63" s="166" t="s">
        <v>187</v>
      </c>
      <c r="D63" s="166" t="s">
        <v>115</v>
      </c>
      <c r="E63" s="167" t="s">
        <v>231</v>
      </c>
      <c r="F63" s="437" t="s">
        <v>264</v>
      </c>
      <c r="G63" s="438"/>
      <c r="H63" s="438"/>
      <c r="I63" s="438"/>
      <c r="J63" s="438"/>
      <c r="K63" s="438"/>
      <c r="L63" s="438"/>
      <c r="M63" s="439"/>
      <c r="N63" s="170"/>
      <c r="O63" s="164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167" t="s">
        <v>233</v>
      </c>
      <c r="D64" s="167" t="s">
        <v>129</v>
      </c>
      <c r="E64" s="167" t="s">
        <v>228</v>
      </c>
      <c r="F64" s="437" t="s">
        <v>264</v>
      </c>
      <c r="G64" s="438"/>
      <c r="H64" s="438"/>
      <c r="I64" s="438"/>
      <c r="J64" s="438"/>
      <c r="K64" s="438"/>
      <c r="L64" s="438"/>
      <c r="M64" s="439"/>
      <c r="N64" s="170"/>
      <c r="O64" s="164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 t="s">
        <v>112</v>
      </c>
      <c r="B65" s="436"/>
      <c r="C65" s="167" t="s">
        <v>196</v>
      </c>
      <c r="D65" s="167" t="s">
        <v>115</v>
      </c>
      <c r="E65" s="167" t="s">
        <v>262</v>
      </c>
      <c r="F65" s="437" t="s">
        <v>182</v>
      </c>
      <c r="G65" s="438"/>
      <c r="H65" s="438"/>
      <c r="I65" s="438"/>
      <c r="J65" s="438"/>
      <c r="K65" s="438"/>
      <c r="L65" s="438"/>
      <c r="M65" s="439"/>
      <c r="N65" s="170"/>
      <c r="O65" s="164"/>
      <c r="P65" s="440"/>
      <c r="Q65" s="441"/>
      <c r="R65" s="440"/>
      <c r="S65" s="442"/>
      <c r="T65" s="442"/>
      <c r="U65" s="441"/>
      <c r="V65" s="443"/>
      <c r="W65" s="443"/>
      <c r="X65" s="443"/>
      <c r="Y65" s="443"/>
      <c r="Z65" s="443"/>
      <c r="AA65" s="443"/>
      <c r="AB65" s="443"/>
      <c r="AC65" s="443"/>
      <c r="AD65" s="444"/>
    </row>
    <row r="66" spans="1:32" ht="27" customHeight="1">
      <c r="A66" s="453"/>
      <c r="B66" s="454"/>
      <c r="C66" s="166"/>
      <c r="D66" s="166"/>
      <c r="E66" s="167"/>
      <c r="F66" s="437"/>
      <c r="G66" s="438"/>
      <c r="H66" s="438"/>
      <c r="I66" s="438"/>
      <c r="J66" s="438"/>
      <c r="K66" s="438"/>
      <c r="L66" s="438"/>
      <c r="M66" s="439"/>
      <c r="N66" s="170"/>
      <c r="O66" s="164"/>
      <c r="P66" s="440"/>
      <c r="Q66" s="441"/>
      <c r="R66" s="440"/>
      <c r="S66" s="442"/>
      <c r="T66" s="442"/>
      <c r="U66" s="441"/>
      <c r="V66" s="443"/>
      <c r="W66" s="443"/>
      <c r="X66" s="443"/>
      <c r="Y66" s="443"/>
      <c r="Z66" s="443"/>
      <c r="AA66" s="443"/>
      <c r="AB66" s="443"/>
      <c r="AC66" s="443"/>
      <c r="AD66" s="444"/>
    </row>
    <row r="67" spans="1:32" ht="27" customHeight="1">
      <c r="A67" s="453"/>
      <c r="B67" s="454"/>
      <c r="C67" s="166"/>
      <c r="D67" s="166"/>
      <c r="E67" s="167"/>
      <c r="F67" s="437"/>
      <c r="G67" s="438"/>
      <c r="H67" s="438"/>
      <c r="I67" s="438"/>
      <c r="J67" s="438"/>
      <c r="K67" s="438"/>
      <c r="L67" s="438"/>
      <c r="M67" s="439"/>
      <c r="N67" s="170"/>
      <c r="O67" s="164"/>
      <c r="P67" s="436"/>
      <c r="Q67" s="436"/>
      <c r="R67" s="436"/>
      <c r="S67" s="436"/>
      <c r="T67" s="436"/>
      <c r="U67" s="436"/>
      <c r="V67" s="443"/>
      <c r="W67" s="443"/>
      <c r="X67" s="443"/>
      <c r="Y67" s="443"/>
      <c r="Z67" s="443"/>
      <c r="AA67" s="443"/>
      <c r="AB67" s="443"/>
      <c r="AC67" s="443"/>
      <c r="AD67" s="444"/>
      <c r="AF67" s="84">
        <f>8*3000</f>
        <v>24000</v>
      </c>
    </row>
    <row r="68" spans="1:32" ht="27" customHeight="1" thickBot="1">
      <c r="A68" s="445"/>
      <c r="B68" s="446"/>
      <c r="C68" s="168"/>
      <c r="D68" s="169"/>
      <c r="E68" s="168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266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165" t="s">
        <v>2</v>
      </c>
      <c r="D70" s="165" t="s">
        <v>37</v>
      </c>
      <c r="E70" s="165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165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112</v>
      </c>
      <c r="D71" s="160"/>
      <c r="E71" s="163" t="s">
        <v>129</v>
      </c>
      <c r="F71" s="464" t="s">
        <v>267</v>
      </c>
      <c r="G71" s="465"/>
      <c r="H71" s="465"/>
      <c r="I71" s="465"/>
      <c r="J71" s="465"/>
      <c r="K71" s="465" t="s">
        <v>132</v>
      </c>
      <c r="L71" s="465"/>
      <c r="M71" s="51" t="s">
        <v>268</v>
      </c>
      <c r="N71" s="466" t="s">
        <v>191</v>
      </c>
      <c r="O71" s="466"/>
      <c r="P71" s="467">
        <v>100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116</v>
      </c>
      <c r="D72" s="160"/>
      <c r="E72" s="163" t="s">
        <v>121</v>
      </c>
      <c r="F72" s="464" t="s">
        <v>269</v>
      </c>
      <c r="G72" s="465"/>
      <c r="H72" s="465"/>
      <c r="I72" s="465"/>
      <c r="J72" s="465"/>
      <c r="K72" s="465" t="s">
        <v>132</v>
      </c>
      <c r="L72" s="465"/>
      <c r="M72" s="51" t="s">
        <v>214</v>
      </c>
      <c r="N72" s="466" t="s">
        <v>199</v>
      </c>
      <c r="O72" s="466"/>
      <c r="P72" s="467">
        <v>100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 t="s">
        <v>112</v>
      </c>
      <c r="D73" s="160"/>
      <c r="E73" s="163" t="s">
        <v>259</v>
      </c>
      <c r="F73" s="469" t="s">
        <v>260</v>
      </c>
      <c r="G73" s="470"/>
      <c r="H73" s="470"/>
      <c r="I73" s="470"/>
      <c r="J73" s="471"/>
      <c r="K73" s="465">
        <v>7301</v>
      </c>
      <c r="L73" s="465"/>
      <c r="M73" s="51" t="s">
        <v>214</v>
      </c>
      <c r="N73" s="466" t="s">
        <v>225</v>
      </c>
      <c r="O73" s="466"/>
      <c r="P73" s="467">
        <v>100</v>
      </c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 t="s">
        <v>116</v>
      </c>
      <c r="D74" s="160"/>
      <c r="E74" s="163" t="s">
        <v>115</v>
      </c>
      <c r="F74" s="469" t="s">
        <v>270</v>
      </c>
      <c r="G74" s="470"/>
      <c r="H74" s="470"/>
      <c r="I74" s="470"/>
      <c r="J74" s="471"/>
      <c r="K74" s="465" t="s">
        <v>271</v>
      </c>
      <c r="L74" s="465"/>
      <c r="M74" s="51" t="s">
        <v>272</v>
      </c>
      <c r="N74" s="466" t="s">
        <v>196</v>
      </c>
      <c r="O74" s="466"/>
      <c r="P74" s="467">
        <v>100</v>
      </c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 t="s">
        <v>112</v>
      </c>
      <c r="D75" s="160"/>
      <c r="E75" s="163" t="s">
        <v>115</v>
      </c>
      <c r="F75" s="469" t="s">
        <v>262</v>
      </c>
      <c r="G75" s="470"/>
      <c r="H75" s="470"/>
      <c r="I75" s="470"/>
      <c r="J75" s="471"/>
      <c r="K75" s="465" t="s">
        <v>123</v>
      </c>
      <c r="L75" s="465"/>
      <c r="M75" s="51" t="s">
        <v>214</v>
      </c>
      <c r="N75" s="466" t="s">
        <v>196</v>
      </c>
      <c r="O75" s="466"/>
      <c r="P75" s="467">
        <v>100</v>
      </c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160"/>
      <c r="E76" s="163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160"/>
      <c r="E77" s="163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160"/>
      <c r="E78" s="163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160"/>
      <c r="E79" s="163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160"/>
      <c r="E80" s="163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273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162" t="s">
        <v>2</v>
      </c>
      <c r="D82" s="162" t="s">
        <v>37</v>
      </c>
      <c r="E82" s="162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161"/>
      <c r="D83" s="161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160"/>
      <c r="D84" s="160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9">A84+1</f>
        <v>3</v>
      </c>
      <c r="B85" s="481"/>
      <c r="C85" s="160"/>
      <c r="D85" s="160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9"/>
        <v>4</v>
      </c>
      <c r="B86" s="481"/>
      <c r="C86" s="160"/>
      <c r="D86" s="160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9"/>
        <v>5</v>
      </c>
      <c r="B87" s="481"/>
      <c r="C87" s="160"/>
      <c r="D87" s="160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9"/>
        <v>6</v>
      </c>
      <c r="B88" s="481"/>
      <c r="C88" s="160"/>
      <c r="D88" s="160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9"/>
        <v>7</v>
      </c>
      <c r="B89" s="481"/>
      <c r="C89" s="160"/>
      <c r="D89" s="160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274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0834-2688-421A-A9B5-8D32D5525C6B}">
  <sheetPr codeName="Sheet6">
    <pageSetUpPr fitToPage="1"/>
  </sheetPr>
  <dimension ref="A1:AF93"/>
  <sheetViews>
    <sheetView view="pageBreakPreview" zoomScale="70" zoomScaleNormal="72" zoomScaleSheetLayoutView="70" workbookViewId="0">
      <selection activeCell="F85" sqref="F85:J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275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248</v>
      </c>
      <c r="F6" s="30" t="s">
        <v>159</v>
      </c>
      <c r="G6" s="12">
        <v>2</v>
      </c>
      <c r="H6" s="13">
        <v>24</v>
      </c>
      <c r="I6" s="31">
        <v>300</v>
      </c>
      <c r="J6" s="14">
        <v>1034</v>
      </c>
      <c r="K6" s="15">
        <f>L6+1034</f>
        <v>1034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0.26893939393939398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155</v>
      </c>
      <c r="E7" s="53" t="s">
        <v>188</v>
      </c>
      <c r="F7" s="30" t="s">
        <v>153</v>
      </c>
      <c r="G7" s="12">
        <v>3</v>
      </c>
      <c r="H7" s="13">
        <v>24</v>
      </c>
      <c r="I7" s="31">
        <v>49000</v>
      </c>
      <c r="J7" s="14">
        <v>19719</v>
      </c>
      <c r="K7" s="15">
        <f>L7+17244+18687+19389</f>
        <v>75039</v>
      </c>
      <c r="L7" s="15">
        <f>3263*3+3310*3</f>
        <v>19719</v>
      </c>
      <c r="M7" s="15">
        <f t="shared" si="0"/>
        <v>19719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0.26893939393939398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256</v>
      </c>
      <c r="D8" s="52"/>
      <c r="E8" s="53" t="s">
        <v>257</v>
      </c>
      <c r="F8" s="30" t="s">
        <v>258</v>
      </c>
      <c r="G8" s="12">
        <v>1</v>
      </c>
      <c r="H8" s="13">
        <v>24</v>
      </c>
      <c r="I8" s="7">
        <v>20000</v>
      </c>
      <c r="J8" s="14">
        <v>4962</v>
      </c>
      <c r="K8" s="15">
        <f>L8+3288</f>
        <v>8250</v>
      </c>
      <c r="L8" s="15">
        <f>2080+2882</f>
        <v>4962</v>
      </c>
      <c r="M8" s="15">
        <f t="shared" si="0"/>
        <v>4962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0.26893939393939398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129</v>
      </c>
      <c r="E9" s="53" t="s">
        <v>228</v>
      </c>
      <c r="F9" s="30" t="s">
        <v>124</v>
      </c>
      <c r="G9" s="12">
        <v>1</v>
      </c>
      <c r="H9" s="13">
        <v>24</v>
      </c>
      <c r="I9" s="7">
        <v>35000</v>
      </c>
      <c r="J9" s="14">
        <v>4218</v>
      </c>
      <c r="K9" s="15">
        <f>L9+5140+2859</f>
        <v>12217</v>
      </c>
      <c r="L9" s="15">
        <f>2704+1514</f>
        <v>4218</v>
      </c>
      <c r="M9" s="15">
        <f t="shared" si="0"/>
        <v>4218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0.26893939393939398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121</v>
      </c>
      <c r="E10" s="53" t="s">
        <v>276</v>
      </c>
      <c r="F10" s="30" t="s">
        <v>132</v>
      </c>
      <c r="G10" s="33">
        <v>1</v>
      </c>
      <c r="H10" s="35">
        <v>24</v>
      </c>
      <c r="I10" s="7">
        <v>13000</v>
      </c>
      <c r="J10" s="14">
        <v>3636</v>
      </c>
      <c r="K10" s="15">
        <f>L10</f>
        <v>3636</v>
      </c>
      <c r="L10" s="15">
        <f>496+3140</f>
        <v>3636</v>
      </c>
      <c r="M10" s="15">
        <f t="shared" si="0"/>
        <v>3636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/>
      <c r="T10" s="16">
        <v>6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 t="shared" si="6"/>
        <v>0.75</v>
      </c>
      <c r="AE10" s="36">
        <f t="shared" si="7"/>
        <v>0.26893939393939398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259</v>
      </c>
      <c r="E11" s="53" t="s">
        <v>260</v>
      </c>
      <c r="F11" s="30" t="s">
        <v>144</v>
      </c>
      <c r="G11" s="33">
        <v>2</v>
      </c>
      <c r="H11" s="35">
        <v>24</v>
      </c>
      <c r="I11" s="7">
        <v>6000</v>
      </c>
      <c r="J11" s="14">
        <v>6140</v>
      </c>
      <c r="K11" s="15">
        <f>L11+6140</f>
        <v>6140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0.26893939393939398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v>32000</v>
      </c>
      <c r="J12" s="5">
        <v>928</v>
      </c>
      <c r="K12" s="15">
        <f>L12+2140+2088+3960+1869+3592+3607+2978+4572+4250</f>
        <v>29984</v>
      </c>
      <c r="L12" s="15">
        <f>488+440</f>
        <v>928</v>
      </c>
      <c r="M12" s="15">
        <f t="shared" si="0"/>
        <v>928</v>
      </c>
      <c r="N12" s="15">
        <v>0</v>
      </c>
      <c r="O12" s="58">
        <f t="shared" si="1"/>
        <v>0</v>
      </c>
      <c r="P12" s="39">
        <f t="shared" si="2"/>
        <v>5</v>
      </c>
      <c r="Q12" s="40">
        <f t="shared" si="3"/>
        <v>19</v>
      </c>
      <c r="R12" s="7"/>
      <c r="S12" s="6">
        <v>19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0.20833333333333334</v>
      </c>
      <c r="AD12" s="10">
        <f t="shared" si="6"/>
        <v>0.20833333333333334</v>
      </c>
      <c r="AE12" s="36">
        <f t="shared" si="7"/>
        <v>0.26893939393939398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130</v>
      </c>
      <c r="D13" s="52" t="s">
        <v>115</v>
      </c>
      <c r="E13" s="53" t="s">
        <v>261</v>
      </c>
      <c r="F13" s="30" t="s">
        <v>144</v>
      </c>
      <c r="G13" s="33">
        <v>1</v>
      </c>
      <c r="H13" s="35">
        <v>22</v>
      </c>
      <c r="I13" s="7">
        <v>2000</v>
      </c>
      <c r="J13" s="14">
        <v>3172</v>
      </c>
      <c r="K13" s="15">
        <f>L13+3172</f>
        <v>3172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0.26893939393939398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214</v>
      </c>
      <c r="K14" s="15">
        <f>L14+214</f>
        <v>214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0.26893939393939398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0.26893939393939398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 t="s">
        <v>194</v>
      </c>
      <c r="F16" s="30" t="s">
        <v>132</v>
      </c>
      <c r="G16" s="12">
        <v>2</v>
      </c>
      <c r="H16" s="13">
        <v>24</v>
      </c>
      <c r="I16" s="7">
        <v>10000</v>
      </c>
      <c r="J16" s="14">
        <v>11018</v>
      </c>
      <c r="K16" s="15">
        <f>L16+5696+11018</f>
        <v>16714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0.26893939393939398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155</v>
      </c>
      <c r="E17" s="53" t="s">
        <v>169</v>
      </c>
      <c r="F17" s="30" t="s">
        <v>159</v>
      </c>
      <c r="G17" s="12">
        <v>1</v>
      </c>
      <c r="H17" s="13">
        <v>24</v>
      </c>
      <c r="I17" s="7">
        <v>10000</v>
      </c>
      <c r="J17" s="14">
        <v>3287</v>
      </c>
      <c r="K17" s="15">
        <f>L17+3386+5752+3287</f>
        <v>12425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0.26893939393939398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262</v>
      </c>
      <c r="F18" s="30" t="s">
        <v>123</v>
      </c>
      <c r="G18" s="33">
        <v>2</v>
      </c>
      <c r="H18" s="35">
        <v>24</v>
      </c>
      <c r="I18" s="7">
        <v>6000</v>
      </c>
      <c r="J18" s="14">
        <v>1750</v>
      </c>
      <c r="K18" s="15">
        <f>L18+4700</f>
        <v>6450</v>
      </c>
      <c r="L18" s="15">
        <f>719*2+156*2</f>
        <v>1750</v>
      </c>
      <c r="M18" s="15">
        <f t="shared" si="0"/>
        <v>1750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/>
      <c r="T18" s="16"/>
      <c r="U18" s="16"/>
      <c r="V18" s="17"/>
      <c r="W18" s="5">
        <v>19</v>
      </c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 t="shared" si="7"/>
        <v>0.26893939393939398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232</v>
      </c>
      <c r="F19" s="30" t="s">
        <v>123</v>
      </c>
      <c r="G19" s="33">
        <v>1</v>
      </c>
      <c r="H19" s="35">
        <v>24</v>
      </c>
      <c r="I19" s="7">
        <v>500</v>
      </c>
      <c r="J19" s="14">
        <v>957</v>
      </c>
      <c r="K19" s="15">
        <f>L19+957</f>
        <v>957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0.26893939393939398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162</v>
      </c>
      <c r="F20" s="30" t="s">
        <v>147</v>
      </c>
      <c r="G20" s="33">
        <v>1</v>
      </c>
      <c r="H20" s="35">
        <v>24</v>
      </c>
      <c r="I20" s="7">
        <v>32000</v>
      </c>
      <c r="J20" s="14">
        <v>5023</v>
      </c>
      <c r="K20" s="15">
        <f>L20+3118+4990+4958+4394+3422+5004</f>
        <v>30909</v>
      </c>
      <c r="L20" s="15">
        <f>2510+2513</f>
        <v>5023</v>
      </c>
      <c r="M20" s="15">
        <f t="shared" si="0"/>
        <v>5023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0.26893939393939398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127</v>
      </c>
      <c r="F21" s="12" t="s">
        <v>114</v>
      </c>
      <c r="G21" s="12">
        <v>4</v>
      </c>
      <c r="H21" s="35">
        <v>20</v>
      </c>
      <c r="I21" s="7">
        <v>1000000</v>
      </c>
      <c r="J21" s="14">
        <v>59076</v>
      </c>
      <c r="K21" s="15">
        <f>L21+50740+61508+62116+62068+58848+54656+61696+61724+33064+28160+54396+62000+61828+61480+59956+61580+19568+54948+62132+27348+33480+32292+31552+30000+54628+60676</f>
        <v>1361520</v>
      </c>
      <c r="L21" s="15">
        <f>7610*4+7159*4</f>
        <v>59076</v>
      </c>
      <c r="M21" s="15">
        <f t="shared" si="0"/>
        <v>59076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0.26893939393939398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0.26893939393939398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0.26893939393939398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0.26893939393939398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0.26893939393939398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0.26893939393939398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0.26893939393939398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3887900</v>
      </c>
      <c r="J28" s="19">
        <f t="shared" si="9"/>
        <v>518042</v>
      </c>
      <c r="K28" s="20">
        <f t="shared" si="9"/>
        <v>6468501</v>
      </c>
      <c r="L28" s="21">
        <f t="shared" si="9"/>
        <v>99312</v>
      </c>
      <c r="M28" s="20">
        <f t="shared" si="9"/>
        <v>99312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142</v>
      </c>
      <c r="Q28" s="43">
        <f t="shared" si="10"/>
        <v>386</v>
      </c>
      <c r="R28" s="23">
        <f t="shared" si="10"/>
        <v>0</v>
      </c>
      <c r="S28" s="24">
        <f t="shared" si="10"/>
        <v>49</v>
      </c>
      <c r="T28" s="24">
        <f t="shared" si="10"/>
        <v>6</v>
      </c>
      <c r="U28" s="24">
        <f t="shared" si="10"/>
        <v>0</v>
      </c>
      <c r="V28" s="25">
        <f t="shared" si="10"/>
        <v>0</v>
      </c>
      <c r="W28" s="26">
        <f t="shared" si="10"/>
        <v>307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24</v>
      </c>
      <c r="AB28" s="28">
        <f>AVERAGE(AB6:AB27)</f>
        <v>0.4</v>
      </c>
      <c r="AC28" s="4">
        <f>AVERAGE(AC6:AC27)</f>
        <v>0.26893939393939398</v>
      </c>
      <c r="AD28" s="4">
        <f>AVERAGE(AD6:AD27)</f>
        <v>0.26893939393939398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277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281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174" t="s">
        <v>46</v>
      </c>
      <c r="D57" s="174" t="s">
        <v>47</v>
      </c>
      <c r="E57" s="174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174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256</v>
      </c>
      <c r="B58" s="436"/>
      <c r="C58" s="176" t="s">
        <v>191</v>
      </c>
      <c r="D58" s="176"/>
      <c r="E58" s="176" t="s">
        <v>257</v>
      </c>
      <c r="F58" s="437" t="s">
        <v>278</v>
      </c>
      <c r="G58" s="438"/>
      <c r="H58" s="438"/>
      <c r="I58" s="438"/>
      <c r="J58" s="438"/>
      <c r="K58" s="438"/>
      <c r="L58" s="438"/>
      <c r="M58" s="439"/>
      <c r="N58" s="175" t="s">
        <v>112</v>
      </c>
      <c r="O58" s="182" t="s">
        <v>154</v>
      </c>
      <c r="P58" s="440" t="s">
        <v>115</v>
      </c>
      <c r="Q58" s="441"/>
      <c r="R58" s="440" t="s">
        <v>164</v>
      </c>
      <c r="S58" s="442"/>
      <c r="T58" s="442"/>
      <c r="U58" s="441"/>
      <c r="V58" s="437" t="s">
        <v>226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112</v>
      </c>
      <c r="B59" s="436"/>
      <c r="C59" s="176" t="s">
        <v>199</v>
      </c>
      <c r="D59" s="176" t="s">
        <v>121</v>
      </c>
      <c r="E59" s="176" t="s">
        <v>276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175" t="s">
        <v>112</v>
      </c>
      <c r="O59" s="182" t="s">
        <v>234</v>
      </c>
      <c r="P59" s="440" t="s">
        <v>115</v>
      </c>
      <c r="Q59" s="441"/>
      <c r="R59" s="440" t="s">
        <v>232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176" t="s">
        <v>234</v>
      </c>
      <c r="D60" s="176" t="s">
        <v>115</v>
      </c>
      <c r="E60" s="176" t="s">
        <v>232</v>
      </c>
      <c r="F60" s="437" t="s">
        <v>279</v>
      </c>
      <c r="G60" s="438"/>
      <c r="H60" s="438"/>
      <c r="I60" s="438"/>
      <c r="J60" s="438"/>
      <c r="K60" s="438"/>
      <c r="L60" s="438"/>
      <c r="M60" s="439"/>
      <c r="N60" s="175" t="s">
        <v>112</v>
      </c>
      <c r="O60" s="182" t="s">
        <v>225</v>
      </c>
      <c r="P60" s="440" t="s">
        <v>129</v>
      </c>
      <c r="Q60" s="441"/>
      <c r="R60" s="440" t="s">
        <v>249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176" t="s">
        <v>154</v>
      </c>
      <c r="D61" s="176" t="s">
        <v>115</v>
      </c>
      <c r="E61" s="176" t="s">
        <v>164</v>
      </c>
      <c r="F61" s="437" t="s">
        <v>280</v>
      </c>
      <c r="G61" s="438"/>
      <c r="H61" s="438"/>
      <c r="I61" s="438"/>
      <c r="J61" s="438"/>
      <c r="K61" s="438"/>
      <c r="L61" s="438"/>
      <c r="M61" s="439"/>
      <c r="N61" s="175" t="s">
        <v>256</v>
      </c>
      <c r="O61" s="182" t="s">
        <v>191</v>
      </c>
      <c r="P61" s="440"/>
      <c r="Q61" s="441"/>
      <c r="R61" s="440" t="s">
        <v>257</v>
      </c>
      <c r="S61" s="442"/>
      <c r="T61" s="442"/>
      <c r="U61" s="441"/>
      <c r="V61" s="437" t="s">
        <v>226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112</v>
      </c>
      <c r="B62" s="436"/>
      <c r="C62" s="176" t="s">
        <v>233</v>
      </c>
      <c r="D62" s="176" t="s">
        <v>129</v>
      </c>
      <c r="E62" s="176" t="s">
        <v>228</v>
      </c>
      <c r="F62" s="437" t="s">
        <v>226</v>
      </c>
      <c r="G62" s="438"/>
      <c r="H62" s="438"/>
      <c r="I62" s="438"/>
      <c r="J62" s="438"/>
      <c r="K62" s="438"/>
      <c r="L62" s="438"/>
      <c r="M62" s="439"/>
      <c r="N62" s="175"/>
      <c r="O62" s="182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/>
      <c r="B63" s="436"/>
      <c r="C63" s="176"/>
      <c r="D63" s="176"/>
      <c r="E63" s="176"/>
      <c r="F63" s="437"/>
      <c r="G63" s="438"/>
      <c r="H63" s="438"/>
      <c r="I63" s="438"/>
      <c r="J63" s="438"/>
      <c r="K63" s="438"/>
      <c r="L63" s="438"/>
      <c r="M63" s="439"/>
      <c r="N63" s="175"/>
      <c r="O63" s="182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/>
      <c r="B64" s="436"/>
      <c r="C64" s="176"/>
      <c r="D64" s="176"/>
      <c r="E64" s="176"/>
      <c r="F64" s="437"/>
      <c r="G64" s="438"/>
      <c r="H64" s="438"/>
      <c r="I64" s="438"/>
      <c r="J64" s="438"/>
      <c r="K64" s="438"/>
      <c r="L64" s="438"/>
      <c r="M64" s="439"/>
      <c r="N64" s="175"/>
      <c r="O64" s="182"/>
      <c r="P64" s="440"/>
      <c r="Q64" s="441"/>
      <c r="R64" s="440"/>
      <c r="S64" s="442"/>
      <c r="T64" s="442"/>
      <c r="U64" s="441"/>
      <c r="V64" s="443"/>
      <c r="W64" s="443"/>
      <c r="X64" s="443"/>
      <c r="Y64" s="443"/>
      <c r="Z64" s="443"/>
      <c r="AA64" s="443"/>
      <c r="AB64" s="443"/>
      <c r="AC64" s="443"/>
      <c r="AD64" s="444"/>
    </row>
    <row r="65" spans="1:32" ht="27" customHeight="1">
      <c r="A65" s="453"/>
      <c r="B65" s="454"/>
      <c r="C65" s="179"/>
      <c r="D65" s="179"/>
      <c r="E65" s="176"/>
      <c r="F65" s="437"/>
      <c r="G65" s="438"/>
      <c r="H65" s="438"/>
      <c r="I65" s="438"/>
      <c r="J65" s="438"/>
      <c r="K65" s="438"/>
      <c r="L65" s="438"/>
      <c r="M65" s="439"/>
      <c r="N65" s="175"/>
      <c r="O65" s="182"/>
      <c r="P65" s="440"/>
      <c r="Q65" s="441"/>
      <c r="R65" s="440"/>
      <c r="S65" s="442"/>
      <c r="T65" s="442"/>
      <c r="U65" s="441"/>
      <c r="V65" s="443"/>
      <c r="W65" s="443"/>
      <c r="X65" s="443"/>
      <c r="Y65" s="443"/>
      <c r="Z65" s="443"/>
      <c r="AA65" s="443"/>
      <c r="AB65" s="443"/>
      <c r="AC65" s="443"/>
      <c r="AD65" s="444"/>
    </row>
    <row r="66" spans="1:32" ht="27" customHeight="1">
      <c r="A66" s="453"/>
      <c r="B66" s="454"/>
      <c r="C66" s="179"/>
      <c r="D66" s="179"/>
      <c r="E66" s="176"/>
      <c r="F66" s="437"/>
      <c r="G66" s="438"/>
      <c r="H66" s="438"/>
      <c r="I66" s="438"/>
      <c r="J66" s="438"/>
      <c r="K66" s="438"/>
      <c r="L66" s="438"/>
      <c r="M66" s="439"/>
      <c r="N66" s="175"/>
      <c r="O66" s="182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177"/>
      <c r="D67" s="178"/>
      <c r="E67" s="177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282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180" t="s">
        <v>2</v>
      </c>
      <c r="D69" s="180" t="s">
        <v>37</v>
      </c>
      <c r="E69" s="180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180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116</v>
      </c>
      <c r="D70" s="184"/>
      <c r="E70" s="181" t="s">
        <v>155</v>
      </c>
      <c r="F70" s="464" t="s">
        <v>283</v>
      </c>
      <c r="G70" s="465"/>
      <c r="H70" s="465"/>
      <c r="I70" s="465"/>
      <c r="J70" s="465"/>
      <c r="K70" s="465" t="s">
        <v>289</v>
      </c>
      <c r="L70" s="465"/>
      <c r="M70" s="51" t="s">
        <v>214</v>
      </c>
      <c r="N70" s="466" t="s">
        <v>223</v>
      </c>
      <c r="O70" s="466"/>
      <c r="P70" s="467">
        <v>100</v>
      </c>
      <c r="Q70" s="467"/>
      <c r="R70" s="443" t="s">
        <v>290</v>
      </c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256</v>
      </c>
      <c r="D71" s="184"/>
      <c r="E71" s="181"/>
      <c r="F71" s="464" t="s">
        <v>284</v>
      </c>
      <c r="G71" s="465"/>
      <c r="H71" s="465"/>
      <c r="I71" s="465"/>
      <c r="J71" s="465"/>
      <c r="K71" s="465" t="s">
        <v>291</v>
      </c>
      <c r="L71" s="465"/>
      <c r="M71" s="51" t="s">
        <v>214</v>
      </c>
      <c r="N71" s="466" t="s">
        <v>223</v>
      </c>
      <c r="O71" s="466"/>
      <c r="P71" s="467">
        <v>50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 t="s">
        <v>130</v>
      </c>
      <c r="D72" s="184"/>
      <c r="E72" s="181" t="s">
        <v>288</v>
      </c>
      <c r="F72" s="469" t="s">
        <v>285</v>
      </c>
      <c r="G72" s="470"/>
      <c r="H72" s="470"/>
      <c r="I72" s="470"/>
      <c r="J72" s="471"/>
      <c r="K72" s="465">
        <v>8301</v>
      </c>
      <c r="L72" s="465"/>
      <c r="M72" s="51" t="s">
        <v>292</v>
      </c>
      <c r="N72" s="466" t="s">
        <v>223</v>
      </c>
      <c r="O72" s="466"/>
      <c r="P72" s="467">
        <v>50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 t="s">
        <v>130</v>
      </c>
      <c r="D73" s="184"/>
      <c r="E73" s="181" t="s">
        <v>157</v>
      </c>
      <c r="F73" s="469" t="s">
        <v>286</v>
      </c>
      <c r="G73" s="470"/>
      <c r="H73" s="470"/>
      <c r="I73" s="470"/>
      <c r="J73" s="471"/>
      <c r="K73" s="465" t="s">
        <v>132</v>
      </c>
      <c r="L73" s="465"/>
      <c r="M73" s="51" t="s">
        <v>292</v>
      </c>
      <c r="N73" s="466" t="s">
        <v>192</v>
      </c>
      <c r="O73" s="466"/>
      <c r="P73" s="467">
        <v>100</v>
      </c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 t="s">
        <v>116</v>
      </c>
      <c r="D74" s="184"/>
      <c r="E74" s="181" t="s">
        <v>121</v>
      </c>
      <c r="F74" s="469" t="s">
        <v>287</v>
      </c>
      <c r="G74" s="470"/>
      <c r="H74" s="470"/>
      <c r="I74" s="470"/>
      <c r="J74" s="471"/>
      <c r="K74" s="465" t="s">
        <v>132</v>
      </c>
      <c r="L74" s="465"/>
      <c r="M74" s="51" t="s">
        <v>272</v>
      </c>
      <c r="N74" s="466" t="s">
        <v>192</v>
      </c>
      <c r="O74" s="466"/>
      <c r="P74" s="467">
        <v>100</v>
      </c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184"/>
      <c r="E75" s="181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184"/>
      <c r="E76" s="181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184"/>
      <c r="E77" s="181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184"/>
      <c r="E78" s="181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184"/>
      <c r="E79" s="181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293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183" t="s">
        <v>2</v>
      </c>
      <c r="D81" s="183" t="s">
        <v>37</v>
      </c>
      <c r="E81" s="183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185"/>
      <c r="D82" s="185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184"/>
      <c r="D83" s="184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184"/>
      <c r="D84" s="184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184"/>
      <c r="D85" s="184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184"/>
      <c r="D86" s="184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184"/>
      <c r="D87" s="184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184"/>
      <c r="D88" s="184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294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27EB-1B7C-4186-8888-48B2DCA42124}">
  <sheetPr codeName="Sheet7">
    <pageSetUpPr fitToPage="1"/>
  </sheetPr>
  <dimension ref="A1:AF93"/>
  <sheetViews>
    <sheetView view="pageBreakPreview" zoomScale="70" zoomScaleNormal="72" zoomScaleSheetLayoutView="70" workbookViewId="0">
      <selection activeCell="F84" sqref="F84:J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295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248</v>
      </c>
      <c r="F6" s="30" t="s">
        <v>159</v>
      </c>
      <c r="G6" s="12">
        <v>2</v>
      </c>
      <c r="H6" s="13">
        <v>24</v>
      </c>
      <c r="I6" s="31">
        <v>300</v>
      </c>
      <c r="J6" s="14">
        <v>1034</v>
      </c>
      <c r="K6" s="15">
        <f>L6+1034</f>
        <v>1034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0.29734848484848486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155</v>
      </c>
      <c r="E7" s="53" t="s">
        <v>188</v>
      </c>
      <c r="F7" s="30" t="s">
        <v>153</v>
      </c>
      <c r="G7" s="12">
        <v>3</v>
      </c>
      <c r="H7" s="13">
        <v>24</v>
      </c>
      <c r="I7" s="31">
        <v>49000</v>
      </c>
      <c r="J7" s="14">
        <v>18981</v>
      </c>
      <c r="K7" s="15">
        <f>L7+17244+18687+19389+19719</f>
        <v>94020</v>
      </c>
      <c r="L7" s="15">
        <f>3059*3+3268*3</f>
        <v>18981</v>
      </c>
      <c r="M7" s="15">
        <f t="shared" si="0"/>
        <v>18981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0.29734848484848486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256</v>
      </c>
      <c r="D8" s="52"/>
      <c r="E8" s="53" t="s">
        <v>257</v>
      </c>
      <c r="F8" s="30" t="s">
        <v>258</v>
      </c>
      <c r="G8" s="12">
        <v>1</v>
      </c>
      <c r="H8" s="13">
        <v>24</v>
      </c>
      <c r="I8" s="7">
        <v>20000</v>
      </c>
      <c r="J8" s="14">
        <v>3108</v>
      </c>
      <c r="K8" s="15">
        <f>L8+3288+4962</f>
        <v>11358</v>
      </c>
      <c r="L8" s="15">
        <f>2817+291</f>
        <v>3108</v>
      </c>
      <c r="M8" s="15">
        <f t="shared" si="0"/>
        <v>3108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6">
        <f t="shared" si="7"/>
        <v>0.29734848484848486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129</v>
      </c>
      <c r="E9" s="53" t="s">
        <v>228</v>
      </c>
      <c r="F9" s="30" t="s">
        <v>124</v>
      </c>
      <c r="G9" s="12">
        <v>1</v>
      </c>
      <c r="H9" s="13">
        <v>24</v>
      </c>
      <c r="I9" s="7">
        <v>35000</v>
      </c>
      <c r="J9" s="14">
        <v>5443</v>
      </c>
      <c r="K9" s="15">
        <f>L9+5140+2859+4218</f>
        <v>17660</v>
      </c>
      <c r="L9" s="15">
        <f>2729+2714</f>
        <v>5443</v>
      </c>
      <c r="M9" s="15">
        <f t="shared" si="0"/>
        <v>5443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0.29734848484848486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121</v>
      </c>
      <c r="E10" s="53" t="s">
        <v>276</v>
      </c>
      <c r="F10" s="30" t="s">
        <v>132</v>
      </c>
      <c r="G10" s="33">
        <v>1</v>
      </c>
      <c r="H10" s="35">
        <v>24</v>
      </c>
      <c r="I10" s="7">
        <v>13000</v>
      </c>
      <c r="J10" s="14">
        <v>6265</v>
      </c>
      <c r="K10" s="15">
        <f>L10+3636</f>
        <v>9901</v>
      </c>
      <c r="L10" s="15">
        <f>3114+3151</f>
        <v>6265</v>
      </c>
      <c r="M10" s="15">
        <f t="shared" si="0"/>
        <v>6265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0.29734848484848486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259</v>
      </c>
      <c r="E11" s="53" t="s">
        <v>260</v>
      </c>
      <c r="F11" s="30" t="s">
        <v>144</v>
      </c>
      <c r="G11" s="33">
        <v>2</v>
      </c>
      <c r="H11" s="35">
        <v>24</v>
      </c>
      <c r="I11" s="7">
        <v>6000</v>
      </c>
      <c r="J11" s="14">
        <v>6140</v>
      </c>
      <c r="K11" s="15">
        <f>L11+6140</f>
        <v>6140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0.29734848484848486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296</v>
      </c>
      <c r="F12" s="30" t="s">
        <v>123</v>
      </c>
      <c r="G12" s="12">
        <v>1</v>
      </c>
      <c r="H12" s="13">
        <v>22</v>
      </c>
      <c r="I12" s="31">
        <v>14000</v>
      </c>
      <c r="J12" s="5">
        <v>2795</v>
      </c>
      <c r="K12" s="15">
        <f>L12</f>
        <v>2795</v>
      </c>
      <c r="L12" s="15">
        <f>158+2637</f>
        <v>2795</v>
      </c>
      <c r="M12" s="15">
        <f t="shared" si="0"/>
        <v>2795</v>
      </c>
      <c r="N12" s="15">
        <v>0</v>
      </c>
      <c r="O12" s="58">
        <f t="shared" si="1"/>
        <v>0</v>
      </c>
      <c r="P12" s="39">
        <f t="shared" si="2"/>
        <v>15</v>
      </c>
      <c r="Q12" s="40">
        <f t="shared" si="3"/>
        <v>9</v>
      </c>
      <c r="R12" s="7"/>
      <c r="S12" s="6"/>
      <c r="T12" s="16">
        <v>9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0.625</v>
      </c>
      <c r="AD12" s="10">
        <f t="shared" si="6"/>
        <v>0.625</v>
      </c>
      <c r="AE12" s="36">
        <f t="shared" si="7"/>
        <v>0.29734848484848486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130</v>
      </c>
      <c r="D13" s="52" t="s">
        <v>115</v>
      </c>
      <c r="E13" s="53" t="s">
        <v>261</v>
      </c>
      <c r="F13" s="30" t="s">
        <v>144</v>
      </c>
      <c r="G13" s="33">
        <v>1</v>
      </c>
      <c r="H13" s="35">
        <v>22</v>
      </c>
      <c r="I13" s="7">
        <v>2000</v>
      </c>
      <c r="J13" s="14">
        <v>3172</v>
      </c>
      <c r="K13" s="15">
        <f>L13+3172</f>
        <v>3172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0.29734848484848486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214</v>
      </c>
      <c r="K14" s="15">
        <f>L14+214</f>
        <v>214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0.29734848484848486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0.29734848484848486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 t="s">
        <v>194</v>
      </c>
      <c r="F16" s="30" t="s">
        <v>132</v>
      </c>
      <c r="G16" s="12">
        <v>2</v>
      </c>
      <c r="H16" s="13">
        <v>24</v>
      </c>
      <c r="I16" s="7">
        <v>10000</v>
      </c>
      <c r="J16" s="14">
        <v>11018</v>
      </c>
      <c r="K16" s="15">
        <f>L16+5696+11018</f>
        <v>16714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0.29734848484848486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155</v>
      </c>
      <c r="E17" s="53" t="s">
        <v>169</v>
      </c>
      <c r="F17" s="30" t="s">
        <v>159</v>
      </c>
      <c r="G17" s="12">
        <v>1</v>
      </c>
      <c r="H17" s="13">
        <v>24</v>
      </c>
      <c r="I17" s="7">
        <v>10000</v>
      </c>
      <c r="J17" s="14">
        <v>3287</v>
      </c>
      <c r="K17" s="15">
        <f>L17+3386+5752+3287</f>
        <v>12425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0.29734848484848486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112</v>
      </c>
      <c r="D18" s="52" t="s">
        <v>115</v>
      </c>
      <c r="E18" s="53" t="s">
        <v>164</v>
      </c>
      <c r="F18" s="30" t="s">
        <v>123</v>
      </c>
      <c r="G18" s="12">
        <v>1</v>
      </c>
      <c r="H18" s="13">
        <v>22</v>
      </c>
      <c r="I18" s="31">
        <v>32000</v>
      </c>
      <c r="J18" s="5">
        <v>1211</v>
      </c>
      <c r="K18" s="15">
        <f>L18+2140+2088+3960+1869+3592+3607+2978+4572+4250+928</f>
        <v>31195</v>
      </c>
      <c r="L18" s="15">
        <f>546+665</f>
        <v>1211</v>
      </c>
      <c r="M18" s="15">
        <f t="shared" ref="M18" si="9">L18-N18</f>
        <v>1211</v>
      </c>
      <c r="N18" s="15">
        <v>0</v>
      </c>
      <c r="O18" s="58">
        <f t="shared" ref="O18" si="10">IF(L18=0,"0",N18/L18)</f>
        <v>0</v>
      </c>
      <c r="P18" s="39">
        <f t="shared" ref="P18" si="11">IF(L18=0,"0",(24-Q18))</f>
        <v>5</v>
      </c>
      <c r="Q18" s="40">
        <f t="shared" ref="Q18" si="12">SUM(R18:AA18)</f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ref="AB18" si="13">IF(J18=0,"0",(L18/J18))</f>
        <v>1</v>
      </c>
      <c r="AC18" s="9">
        <f t="shared" ref="AC18" si="14">IF(P18=0,"0",(P18/24))</f>
        <v>0.20833333333333334</v>
      </c>
      <c r="AD18" s="10">
        <f t="shared" ref="AD18" si="15">AC18*AB18*(1-O18)</f>
        <v>0.20833333333333334</v>
      </c>
      <c r="AE18" s="36">
        <f t="shared" si="7"/>
        <v>0.29734848484848486</v>
      </c>
      <c r="AF18" s="84">
        <f t="shared" ref="AF18" si="16">A18</f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232</v>
      </c>
      <c r="F19" s="30" t="s">
        <v>123</v>
      </c>
      <c r="G19" s="33">
        <v>1</v>
      </c>
      <c r="H19" s="35">
        <v>24</v>
      </c>
      <c r="I19" s="7">
        <v>500</v>
      </c>
      <c r="J19" s="14">
        <v>957</v>
      </c>
      <c r="K19" s="15">
        <f>L19+957</f>
        <v>957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0.29734848484848486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162</v>
      </c>
      <c r="F20" s="30" t="s">
        <v>147</v>
      </c>
      <c r="G20" s="33">
        <v>1</v>
      </c>
      <c r="H20" s="35">
        <v>24</v>
      </c>
      <c r="I20" s="7">
        <v>32000</v>
      </c>
      <c r="J20" s="14">
        <v>5005</v>
      </c>
      <c r="K20" s="15">
        <f>L20+3118+4990+4958+4394+3422+5004+5023</f>
        <v>35914</v>
      </c>
      <c r="L20" s="15">
        <f>2488+2517</f>
        <v>5005</v>
      </c>
      <c r="M20" s="15">
        <f t="shared" si="0"/>
        <v>5005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0.29734848484848486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127</v>
      </c>
      <c r="F21" s="12" t="s">
        <v>114</v>
      </c>
      <c r="G21" s="12">
        <v>4</v>
      </c>
      <c r="H21" s="35">
        <v>20</v>
      </c>
      <c r="I21" s="7">
        <v>1000000</v>
      </c>
      <c r="J21" s="14">
        <v>60392</v>
      </c>
      <c r="K21" s="15">
        <f>L21+50740+61508+62116+62068+58848+54656+61696+61724+33064+28160+54396+62000+61828+61480+59956+61580+19568+54948+62132+27348+33480+32292+31552+30000+54628+60676+59076</f>
        <v>1421912</v>
      </c>
      <c r="L21" s="15">
        <f>7504*4+7594*4</f>
        <v>60392</v>
      </c>
      <c r="M21" s="15">
        <f t="shared" si="0"/>
        <v>60392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0.29734848484848486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0.29734848484848486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0.29734848484848486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0.29734848484848486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0.29734848484848486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0.29734848484848486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0.29734848484848486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17">SUM(I6:I27)</f>
        <v>3895900</v>
      </c>
      <c r="J28" s="19">
        <f t="shared" si="17"/>
        <v>521930</v>
      </c>
      <c r="K28" s="20">
        <f t="shared" si="17"/>
        <v>6565251</v>
      </c>
      <c r="L28" s="21">
        <f t="shared" si="17"/>
        <v>103200</v>
      </c>
      <c r="M28" s="20">
        <f t="shared" si="17"/>
        <v>103200</v>
      </c>
      <c r="N28" s="21">
        <f t="shared" si="17"/>
        <v>0</v>
      </c>
      <c r="O28" s="41">
        <f t="shared" si="1"/>
        <v>0</v>
      </c>
      <c r="P28" s="42">
        <f t="shared" ref="P28:AA28" si="18">SUM(P6:P27)</f>
        <v>157</v>
      </c>
      <c r="Q28" s="43">
        <f t="shared" si="18"/>
        <v>371</v>
      </c>
      <c r="R28" s="23">
        <f t="shared" si="18"/>
        <v>0</v>
      </c>
      <c r="S28" s="24">
        <f t="shared" si="18"/>
        <v>50</v>
      </c>
      <c r="T28" s="24">
        <f t="shared" si="18"/>
        <v>9</v>
      </c>
      <c r="U28" s="24">
        <f t="shared" si="18"/>
        <v>0</v>
      </c>
      <c r="V28" s="25">
        <f t="shared" si="18"/>
        <v>0</v>
      </c>
      <c r="W28" s="26">
        <f t="shared" si="18"/>
        <v>264</v>
      </c>
      <c r="X28" s="27">
        <f t="shared" si="18"/>
        <v>0</v>
      </c>
      <c r="Y28" s="27">
        <f t="shared" si="18"/>
        <v>0</v>
      </c>
      <c r="Z28" s="27">
        <f t="shared" si="18"/>
        <v>0</v>
      </c>
      <c r="AA28" s="27">
        <f t="shared" si="18"/>
        <v>48</v>
      </c>
      <c r="AB28" s="28">
        <f>AVERAGE(AB6:AB27)</f>
        <v>0.4</v>
      </c>
      <c r="AC28" s="4">
        <f>AVERAGE(AC6:AC27)</f>
        <v>0.29734848484848486</v>
      </c>
      <c r="AD28" s="4">
        <f>AVERAGE(AD6:AD27)</f>
        <v>0.29734848484848486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297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300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197" t="s">
        <v>46</v>
      </c>
      <c r="D57" s="197" t="s">
        <v>47</v>
      </c>
      <c r="E57" s="197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197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256</v>
      </c>
      <c r="B58" s="436"/>
      <c r="C58" s="193" t="s">
        <v>191</v>
      </c>
      <c r="D58" s="193"/>
      <c r="E58" s="193" t="s">
        <v>257</v>
      </c>
      <c r="F58" s="437" t="s">
        <v>226</v>
      </c>
      <c r="G58" s="438"/>
      <c r="H58" s="438"/>
      <c r="I58" s="438"/>
      <c r="J58" s="438"/>
      <c r="K58" s="438"/>
      <c r="L58" s="438"/>
      <c r="M58" s="439"/>
      <c r="N58" s="196" t="s">
        <v>112</v>
      </c>
      <c r="O58" s="190" t="s">
        <v>196</v>
      </c>
      <c r="P58" s="440" t="s">
        <v>115</v>
      </c>
      <c r="Q58" s="441"/>
      <c r="R58" s="440" t="s">
        <v>164</v>
      </c>
      <c r="S58" s="442"/>
      <c r="T58" s="442"/>
      <c r="U58" s="441"/>
      <c r="V58" s="437" t="s">
        <v>226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112</v>
      </c>
      <c r="B59" s="436"/>
      <c r="C59" s="193" t="s">
        <v>154</v>
      </c>
      <c r="D59" s="193" t="s">
        <v>115</v>
      </c>
      <c r="E59" s="193" t="s">
        <v>296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196" t="s">
        <v>112</v>
      </c>
      <c r="O59" s="190" t="s">
        <v>234</v>
      </c>
      <c r="P59" s="440" t="s">
        <v>115</v>
      </c>
      <c r="Q59" s="441"/>
      <c r="R59" s="440" t="s">
        <v>232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193" t="s">
        <v>234</v>
      </c>
      <c r="D60" s="193" t="s">
        <v>115</v>
      </c>
      <c r="E60" s="193" t="s">
        <v>232</v>
      </c>
      <c r="F60" s="437" t="s">
        <v>298</v>
      </c>
      <c r="G60" s="438"/>
      <c r="H60" s="438"/>
      <c r="I60" s="438"/>
      <c r="J60" s="438"/>
      <c r="K60" s="438"/>
      <c r="L60" s="438"/>
      <c r="M60" s="439"/>
      <c r="N60" s="196" t="s">
        <v>112</v>
      </c>
      <c r="O60" s="190" t="s">
        <v>225</v>
      </c>
      <c r="P60" s="440" t="s">
        <v>129</v>
      </c>
      <c r="Q60" s="441"/>
      <c r="R60" s="440" t="s">
        <v>249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193" t="s">
        <v>154</v>
      </c>
      <c r="D61" s="193" t="s">
        <v>115</v>
      </c>
      <c r="E61" s="193" t="s">
        <v>164</v>
      </c>
      <c r="F61" s="437" t="s">
        <v>299</v>
      </c>
      <c r="G61" s="438"/>
      <c r="H61" s="438"/>
      <c r="I61" s="438"/>
      <c r="J61" s="438"/>
      <c r="K61" s="438"/>
      <c r="L61" s="438"/>
      <c r="M61" s="439"/>
      <c r="N61" s="196" t="s">
        <v>130</v>
      </c>
      <c r="O61" s="190" t="s">
        <v>223</v>
      </c>
      <c r="P61" s="440" t="s">
        <v>288</v>
      </c>
      <c r="Q61" s="441"/>
      <c r="R61" s="440" t="s">
        <v>301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/>
      <c r="B62" s="436"/>
      <c r="C62" s="193"/>
      <c r="D62" s="193"/>
      <c r="E62" s="193"/>
      <c r="F62" s="437"/>
      <c r="G62" s="438"/>
      <c r="H62" s="438"/>
      <c r="I62" s="438"/>
      <c r="J62" s="438"/>
      <c r="K62" s="438"/>
      <c r="L62" s="438"/>
      <c r="M62" s="439"/>
      <c r="N62" s="196" t="s">
        <v>112</v>
      </c>
      <c r="O62" s="190" t="s">
        <v>245</v>
      </c>
      <c r="P62" s="440" t="s">
        <v>121</v>
      </c>
      <c r="Q62" s="441"/>
      <c r="R62" s="440" t="s">
        <v>302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/>
      <c r="B63" s="436"/>
      <c r="C63" s="193"/>
      <c r="D63" s="193"/>
      <c r="E63" s="193"/>
      <c r="F63" s="437"/>
      <c r="G63" s="438"/>
      <c r="H63" s="438"/>
      <c r="I63" s="438"/>
      <c r="J63" s="438"/>
      <c r="K63" s="438"/>
      <c r="L63" s="438"/>
      <c r="M63" s="439"/>
      <c r="N63" s="196" t="s">
        <v>130</v>
      </c>
      <c r="O63" s="190" t="s">
        <v>184</v>
      </c>
      <c r="P63" s="440" t="s">
        <v>157</v>
      </c>
      <c r="Q63" s="441"/>
      <c r="R63" s="440" t="s">
        <v>303</v>
      </c>
      <c r="S63" s="442"/>
      <c r="T63" s="442"/>
      <c r="U63" s="441"/>
      <c r="V63" s="437" t="s">
        <v>122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/>
      <c r="B64" s="436"/>
      <c r="C64" s="193"/>
      <c r="D64" s="193"/>
      <c r="E64" s="193"/>
      <c r="F64" s="437"/>
      <c r="G64" s="438"/>
      <c r="H64" s="438"/>
      <c r="I64" s="438"/>
      <c r="J64" s="438"/>
      <c r="K64" s="438"/>
      <c r="L64" s="438"/>
      <c r="M64" s="439"/>
      <c r="N64" s="196"/>
      <c r="O64" s="190"/>
      <c r="P64" s="440"/>
      <c r="Q64" s="441"/>
      <c r="R64" s="440"/>
      <c r="S64" s="442"/>
      <c r="T64" s="442"/>
      <c r="U64" s="441"/>
      <c r="V64" s="443"/>
      <c r="W64" s="443"/>
      <c r="X64" s="443"/>
      <c r="Y64" s="443"/>
      <c r="Z64" s="443"/>
      <c r="AA64" s="443"/>
      <c r="AB64" s="443"/>
      <c r="AC64" s="443"/>
      <c r="AD64" s="444"/>
    </row>
    <row r="65" spans="1:32" ht="27" customHeight="1">
      <c r="A65" s="453"/>
      <c r="B65" s="454"/>
      <c r="C65" s="192"/>
      <c r="D65" s="192"/>
      <c r="E65" s="193"/>
      <c r="F65" s="437"/>
      <c r="G65" s="438"/>
      <c r="H65" s="438"/>
      <c r="I65" s="438"/>
      <c r="J65" s="438"/>
      <c r="K65" s="438"/>
      <c r="L65" s="438"/>
      <c r="M65" s="439"/>
      <c r="N65" s="196"/>
      <c r="O65" s="190"/>
      <c r="P65" s="440"/>
      <c r="Q65" s="441"/>
      <c r="R65" s="440"/>
      <c r="S65" s="442"/>
      <c r="T65" s="442"/>
      <c r="U65" s="441"/>
      <c r="V65" s="443"/>
      <c r="W65" s="443"/>
      <c r="X65" s="443"/>
      <c r="Y65" s="443"/>
      <c r="Z65" s="443"/>
      <c r="AA65" s="443"/>
      <c r="AB65" s="443"/>
      <c r="AC65" s="443"/>
      <c r="AD65" s="444"/>
    </row>
    <row r="66" spans="1:32" ht="27" customHeight="1">
      <c r="A66" s="453"/>
      <c r="B66" s="454"/>
      <c r="C66" s="192"/>
      <c r="D66" s="192"/>
      <c r="E66" s="193"/>
      <c r="F66" s="437"/>
      <c r="G66" s="438"/>
      <c r="H66" s="438"/>
      <c r="I66" s="438"/>
      <c r="J66" s="438"/>
      <c r="K66" s="438"/>
      <c r="L66" s="438"/>
      <c r="M66" s="439"/>
      <c r="N66" s="196"/>
      <c r="O66" s="190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194"/>
      <c r="D67" s="195"/>
      <c r="E67" s="194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304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191" t="s">
        <v>2</v>
      </c>
      <c r="D69" s="191" t="s">
        <v>37</v>
      </c>
      <c r="E69" s="191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191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112</v>
      </c>
      <c r="D70" s="186"/>
      <c r="E70" s="189" t="s">
        <v>115</v>
      </c>
      <c r="F70" s="464" t="s">
        <v>305</v>
      </c>
      <c r="G70" s="465"/>
      <c r="H70" s="465"/>
      <c r="I70" s="465"/>
      <c r="J70" s="465"/>
      <c r="K70" s="465" t="s">
        <v>240</v>
      </c>
      <c r="L70" s="465"/>
      <c r="M70" s="51" t="s">
        <v>214</v>
      </c>
      <c r="N70" s="466" t="s">
        <v>225</v>
      </c>
      <c r="O70" s="466"/>
      <c r="P70" s="467">
        <v>250</v>
      </c>
      <c r="Q70" s="467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116</v>
      </c>
      <c r="D71" s="186"/>
      <c r="E71" s="189" t="s">
        <v>309</v>
      </c>
      <c r="F71" s="464" t="s">
        <v>306</v>
      </c>
      <c r="G71" s="465"/>
      <c r="H71" s="465"/>
      <c r="I71" s="465"/>
      <c r="J71" s="465"/>
      <c r="K71" s="465" t="s">
        <v>124</v>
      </c>
      <c r="L71" s="465"/>
      <c r="M71" s="51" t="s">
        <v>272</v>
      </c>
      <c r="N71" s="466" t="s">
        <v>245</v>
      </c>
      <c r="O71" s="466"/>
      <c r="P71" s="467">
        <v>400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 t="s">
        <v>130</v>
      </c>
      <c r="D72" s="186"/>
      <c r="E72" s="189" t="s">
        <v>115</v>
      </c>
      <c r="F72" s="469" t="s">
        <v>307</v>
      </c>
      <c r="G72" s="470"/>
      <c r="H72" s="470"/>
      <c r="I72" s="470"/>
      <c r="J72" s="471"/>
      <c r="K72" s="465" t="s">
        <v>147</v>
      </c>
      <c r="L72" s="465"/>
      <c r="M72" s="51" t="s">
        <v>292</v>
      </c>
      <c r="N72" s="466" t="s">
        <v>192</v>
      </c>
      <c r="O72" s="466"/>
      <c r="P72" s="467">
        <v>50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 t="s">
        <v>130</v>
      </c>
      <c r="D73" s="186"/>
      <c r="E73" s="189" t="s">
        <v>310</v>
      </c>
      <c r="F73" s="469" t="s">
        <v>308</v>
      </c>
      <c r="G73" s="470"/>
      <c r="H73" s="470"/>
      <c r="I73" s="470"/>
      <c r="J73" s="471"/>
      <c r="K73" s="465" t="s">
        <v>147</v>
      </c>
      <c r="L73" s="465"/>
      <c r="M73" s="51" t="s">
        <v>292</v>
      </c>
      <c r="N73" s="466" t="s">
        <v>192</v>
      </c>
      <c r="O73" s="466"/>
      <c r="P73" s="467">
        <v>50</v>
      </c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186"/>
      <c r="E74" s="189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186"/>
      <c r="E75" s="189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186"/>
      <c r="E76" s="189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186"/>
      <c r="E77" s="189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186"/>
      <c r="E78" s="189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186"/>
      <c r="E79" s="189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311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188" t="s">
        <v>2</v>
      </c>
      <c r="D81" s="188" t="s">
        <v>37</v>
      </c>
      <c r="E81" s="188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187"/>
      <c r="D82" s="187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186"/>
      <c r="D83" s="186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9">A83+1</f>
        <v>3</v>
      </c>
      <c r="B84" s="481"/>
      <c r="C84" s="186"/>
      <c r="D84" s="186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9"/>
        <v>4</v>
      </c>
      <c r="B85" s="481"/>
      <c r="C85" s="186"/>
      <c r="D85" s="186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9"/>
        <v>5</v>
      </c>
      <c r="B86" s="481"/>
      <c r="C86" s="186"/>
      <c r="D86" s="186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9"/>
        <v>6</v>
      </c>
      <c r="B87" s="481"/>
      <c r="C87" s="186"/>
      <c r="D87" s="186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9"/>
        <v>7</v>
      </c>
      <c r="B88" s="481"/>
      <c r="C88" s="186"/>
      <c r="D88" s="186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312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0546-8DA3-412A-A586-76DB6EDFF819}">
  <sheetPr codeName="Sheet8">
    <pageSetUpPr fitToPage="1"/>
  </sheetPr>
  <dimension ref="A1:AF94"/>
  <sheetViews>
    <sheetView view="pageBreakPreview" zoomScale="70" zoomScaleNormal="72" zoomScaleSheetLayoutView="70" workbookViewId="0">
      <selection activeCell="N26" sqref="N2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313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199" t="s">
        <v>17</v>
      </c>
      <c r="L5" s="199" t="s">
        <v>18</v>
      </c>
      <c r="M5" s="199" t="s">
        <v>19</v>
      </c>
      <c r="N5" s="19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130</v>
      </c>
      <c r="D6" s="52" t="s">
        <v>155</v>
      </c>
      <c r="E6" s="53" t="s">
        <v>301</v>
      </c>
      <c r="F6" s="30" t="s">
        <v>289</v>
      </c>
      <c r="G6" s="12">
        <v>1</v>
      </c>
      <c r="H6" s="13">
        <v>24</v>
      </c>
      <c r="I6" s="31">
        <v>1500</v>
      </c>
      <c r="J6" s="14">
        <v>1604</v>
      </c>
      <c r="K6" s="15">
        <f>L6</f>
        <v>1604</v>
      </c>
      <c r="L6" s="15">
        <v>1604</v>
      </c>
      <c r="M6" s="15">
        <f t="shared" ref="M6:M28" si="0">L6-N6</f>
        <v>1604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8</v>
      </c>
      <c r="Q6" s="40">
        <f t="shared" ref="Q6:Q28" si="3">SUM(R6:AA6)</f>
        <v>16</v>
      </c>
      <c r="R6" s="7"/>
      <c r="S6" s="6"/>
      <c r="T6" s="16"/>
      <c r="U6" s="16"/>
      <c r="V6" s="17"/>
      <c r="W6" s="5">
        <v>16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0.33333333333333331</v>
      </c>
      <c r="AD6" s="10">
        <f t="shared" ref="AD6:AD28" si="6">AC6*AB6*(1-O6)</f>
        <v>0.33333333333333331</v>
      </c>
      <c r="AE6" s="36">
        <f t="shared" ref="AE6:AE28" si="7">$AD$29</f>
        <v>0.30072463768115942</v>
      </c>
      <c r="AF6" s="84">
        <f t="shared" ref="AF6:AF28" si="8">A6</f>
        <v>1</v>
      </c>
    </row>
    <row r="7" spans="1:32" ht="27" customHeight="1">
      <c r="A7" s="112">
        <v>1</v>
      </c>
      <c r="B7" s="11" t="s">
        <v>57</v>
      </c>
      <c r="C7" s="34" t="s">
        <v>130</v>
      </c>
      <c r="D7" s="52" t="s">
        <v>155</v>
      </c>
      <c r="E7" s="53" t="s">
        <v>314</v>
      </c>
      <c r="F7" s="30" t="s">
        <v>289</v>
      </c>
      <c r="G7" s="12">
        <v>1</v>
      </c>
      <c r="H7" s="13">
        <v>24</v>
      </c>
      <c r="I7" s="31">
        <v>2000</v>
      </c>
      <c r="J7" s="14">
        <v>2339</v>
      </c>
      <c r="K7" s="15">
        <f>L7</f>
        <v>2339</v>
      </c>
      <c r="L7" s="15">
        <v>2339</v>
      </c>
      <c r="M7" s="15">
        <f t="shared" ref="M7" si="9">L7-N7</f>
        <v>2339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12</v>
      </c>
      <c r="Q7" s="40">
        <f t="shared" ref="Q7" si="12">SUM(R7:AA7)</f>
        <v>12</v>
      </c>
      <c r="R7" s="7"/>
      <c r="S7" s="6"/>
      <c r="T7" s="16">
        <v>9</v>
      </c>
      <c r="U7" s="16"/>
      <c r="V7" s="17"/>
      <c r="W7" s="5">
        <v>3</v>
      </c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0.5</v>
      </c>
      <c r="AD7" s="10">
        <f t="shared" ref="AD7" si="15">AC7*AB7*(1-O7)</f>
        <v>0.5</v>
      </c>
      <c r="AE7" s="36">
        <f t="shared" si="7"/>
        <v>0.30072463768115942</v>
      </c>
      <c r="AF7" s="84">
        <f t="shared" ref="AF7" si="16">A7</f>
        <v>1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155</v>
      </c>
      <c r="E8" s="53" t="s">
        <v>188</v>
      </c>
      <c r="F8" s="30" t="s">
        <v>153</v>
      </c>
      <c r="G8" s="12">
        <v>3</v>
      </c>
      <c r="H8" s="13">
        <v>24</v>
      </c>
      <c r="I8" s="31">
        <v>49000</v>
      </c>
      <c r="J8" s="14">
        <v>18981</v>
      </c>
      <c r="K8" s="15">
        <f>L8+17244+18687+19389+19719+18981</f>
        <v>94020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0.30072463768115942</v>
      </c>
      <c r="AF8" s="84">
        <f t="shared" si="8"/>
        <v>2</v>
      </c>
    </row>
    <row r="9" spans="1:32" ht="27" customHeight="1">
      <c r="A9" s="112">
        <v>3</v>
      </c>
      <c r="B9" s="11" t="s">
        <v>57</v>
      </c>
      <c r="C9" s="34" t="s">
        <v>256</v>
      </c>
      <c r="D9" s="52"/>
      <c r="E9" s="53" t="s">
        <v>257</v>
      </c>
      <c r="F9" s="30" t="s">
        <v>258</v>
      </c>
      <c r="G9" s="12">
        <v>1</v>
      </c>
      <c r="H9" s="13">
        <v>24</v>
      </c>
      <c r="I9" s="7">
        <v>20000</v>
      </c>
      <c r="J9" s="14">
        <v>5473</v>
      </c>
      <c r="K9" s="15">
        <f>L9+3288+4962+3108</f>
        <v>16831</v>
      </c>
      <c r="L9" s="15">
        <f>2604+2869</f>
        <v>5473</v>
      </c>
      <c r="M9" s="15">
        <f t="shared" si="0"/>
        <v>5473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0.30072463768115942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112</v>
      </c>
      <c r="D10" s="52" t="s">
        <v>129</v>
      </c>
      <c r="E10" s="53" t="s">
        <v>228</v>
      </c>
      <c r="F10" s="30" t="s">
        <v>124</v>
      </c>
      <c r="G10" s="12">
        <v>1</v>
      </c>
      <c r="H10" s="13">
        <v>24</v>
      </c>
      <c r="I10" s="7">
        <v>35000</v>
      </c>
      <c r="J10" s="14">
        <v>3499</v>
      </c>
      <c r="K10" s="15">
        <f>L10+5140+2859+4218+5443</f>
        <v>21159</v>
      </c>
      <c r="L10" s="15">
        <f>2630+869</f>
        <v>3499</v>
      </c>
      <c r="M10" s="15">
        <f t="shared" si="0"/>
        <v>3499</v>
      </c>
      <c r="N10" s="15">
        <v>0</v>
      </c>
      <c r="O10" s="58">
        <f t="shared" si="1"/>
        <v>0</v>
      </c>
      <c r="P10" s="39">
        <f t="shared" si="2"/>
        <v>17</v>
      </c>
      <c r="Q10" s="40">
        <f t="shared" si="3"/>
        <v>7</v>
      </c>
      <c r="R10" s="7"/>
      <c r="S10" s="6">
        <v>7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0.70833333333333337</v>
      </c>
      <c r="AD10" s="10">
        <f t="shared" si="6"/>
        <v>0.70833333333333337</v>
      </c>
      <c r="AE10" s="36">
        <f t="shared" si="7"/>
        <v>0.30072463768115942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121</v>
      </c>
      <c r="E11" s="53" t="s">
        <v>276</v>
      </c>
      <c r="F11" s="30" t="s">
        <v>132</v>
      </c>
      <c r="G11" s="33">
        <v>1</v>
      </c>
      <c r="H11" s="35">
        <v>24</v>
      </c>
      <c r="I11" s="7">
        <v>13000</v>
      </c>
      <c r="J11" s="14">
        <v>3828</v>
      </c>
      <c r="K11" s="15">
        <f>L11+3636+6265</f>
        <v>13729</v>
      </c>
      <c r="L11" s="15">
        <f>683+3145</f>
        <v>3828</v>
      </c>
      <c r="M11" s="15">
        <f t="shared" si="0"/>
        <v>3828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/>
      <c r="T11" s="16"/>
      <c r="U11" s="16"/>
      <c r="V11" s="17"/>
      <c r="W11" s="5">
        <v>8</v>
      </c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si="6"/>
        <v>0.66666666666666663</v>
      </c>
      <c r="AE11" s="36">
        <f t="shared" si="7"/>
        <v>0.30072463768115942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259</v>
      </c>
      <c r="E12" s="53" t="s">
        <v>260</v>
      </c>
      <c r="F12" s="30" t="s">
        <v>144</v>
      </c>
      <c r="G12" s="33">
        <v>2</v>
      </c>
      <c r="H12" s="35">
        <v>24</v>
      </c>
      <c r="I12" s="7">
        <v>6000</v>
      </c>
      <c r="J12" s="14">
        <v>6140</v>
      </c>
      <c r="K12" s="15">
        <f>L12+6140</f>
        <v>6140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0.30072463768115942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112</v>
      </c>
      <c r="D13" s="52" t="s">
        <v>115</v>
      </c>
      <c r="E13" s="53" t="s">
        <v>296</v>
      </c>
      <c r="F13" s="30" t="s">
        <v>123</v>
      </c>
      <c r="G13" s="12">
        <v>1</v>
      </c>
      <c r="H13" s="13">
        <v>22</v>
      </c>
      <c r="I13" s="31">
        <v>14000</v>
      </c>
      <c r="J13" s="5">
        <v>5248</v>
      </c>
      <c r="K13" s="15">
        <f>L13+2795</f>
        <v>8043</v>
      </c>
      <c r="L13" s="15">
        <f>2609+2639</f>
        <v>5248</v>
      </c>
      <c r="M13" s="15">
        <f t="shared" si="0"/>
        <v>5248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0.30072463768115942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121</v>
      </c>
      <c r="E14" s="53" t="s">
        <v>302</v>
      </c>
      <c r="F14" s="30" t="s">
        <v>132</v>
      </c>
      <c r="G14" s="33">
        <v>1</v>
      </c>
      <c r="H14" s="35">
        <v>22</v>
      </c>
      <c r="I14" s="7">
        <v>100</v>
      </c>
      <c r="J14" s="14">
        <v>4030</v>
      </c>
      <c r="K14" s="15">
        <f>L14</f>
        <v>4030</v>
      </c>
      <c r="L14" s="15">
        <f>2580+1450</f>
        <v>4030</v>
      </c>
      <c r="M14" s="15">
        <f t="shared" si="0"/>
        <v>4030</v>
      </c>
      <c r="N14" s="15">
        <v>0</v>
      </c>
      <c r="O14" s="58">
        <f t="shared" si="1"/>
        <v>0</v>
      </c>
      <c r="P14" s="39">
        <f t="shared" si="2"/>
        <v>22</v>
      </c>
      <c r="Q14" s="40">
        <f t="shared" si="3"/>
        <v>2</v>
      </c>
      <c r="R14" s="7"/>
      <c r="S14" s="6"/>
      <c r="T14" s="16"/>
      <c r="U14" s="16"/>
      <c r="V14" s="17"/>
      <c r="W14" s="5">
        <v>2</v>
      </c>
      <c r="X14" s="16"/>
      <c r="Y14" s="16"/>
      <c r="Z14" s="16"/>
      <c r="AA14" s="18"/>
      <c r="AB14" s="8">
        <f t="shared" si="4"/>
        <v>1</v>
      </c>
      <c r="AC14" s="9">
        <f t="shared" si="5"/>
        <v>0.91666666666666663</v>
      </c>
      <c r="AD14" s="10">
        <f t="shared" si="6"/>
        <v>0.91666666666666663</v>
      </c>
      <c r="AE14" s="36">
        <f t="shared" si="7"/>
        <v>0.30072463768115942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231</v>
      </c>
      <c r="F15" s="30" t="s">
        <v>159</v>
      </c>
      <c r="G15" s="33">
        <v>1</v>
      </c>
      <c r="H15" s="35">
        <v>30</v>
      </c>
      <c r="I15" s="7">
        <v>100</v>
      </c>
      <c r="J15" s="5">
        <v>214</v>
      </c>
      <c r="K15" s="15">
        <f>L15+214</f>
        <v>214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0.30072463768115942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0.30072463768115942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116</v>
      </c>
      <c r="D17" s="52" t="s">
        <v>121</v>
      </c>
      <c r="E17" s="53" t="s">
        <v>194</v>
      </c>
      <c r="F17" s="30" t="s">
        <v>132</v>
      </c>
      <c r="G17" s="12">
        <v>2</v>
      </c>
      <c r="H17" s="13">
        <v>24</v>
      </c>
      <c r="I17" s="7">
        <v>10000</v>
      </c>
      <c r="J17" s="14">
        <v>11018</v>
      </c>
      <c r="K17" s="15">
        <f>L17+5696+11018</f>
        <v>16714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0.30072463768115942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157</v>
      </c>
      <c r="E18" s="53" t="s">
        <v>303</v>
      </c>
      <c r="F18" s="30" t="s">
        <v>289</v>
      </c>
      <c r="G18" s="12">
        <v>2</v>
      </c>
      <c r="H18" s="13">
        <v>24</v>
      </c>
      <c r="I18" s="7">
        <v>5000</v>
      </c>
      <c r="J18" s="14">
        <v>3287</v>
      </c>
      <c r="K18" s="15">
        <f>L18</f>
        <v>0</v>
      </c>
      <c r="L18" s="15">
        <f>0</f>
        <v>0</v>
      </c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0.30072463768115942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34" t="s">
        <v>112</v>
      </c>
      <c r="D19" s="52" t="s">
        <v>115</v>
      </c>
      <c r="E19" s="53" t="s">
        <v>164</v>
      </c>
      <c r="F19" s="30" t="s">
        <v>123</v>
      </c>
      <c r="G19" s="12">
        <v>1</v>
      </c>
      <c r="H19" s="13">
        <v>22</v>
      </c>
      <c r="I19" s="31">
        <v>32000</v>
      </c>
      <c r="J19" s="5">
        <v>537</v>
      </c>
      <c r="K19" s="15">
        <f>L19+2140+2088+3960+1869+3592+3607+2978+4572+4250+928+1211</f>
        <v>31732</v>
      </c>
      <c r="L19" s="15">
        <v>537</v>
      </c>
      <c r="M19" s="15">
        <f t="shared" si="0"/>
        <v>537</v>
      </c>
      <c r="N19" s="15">
        <v>0</v>
      </c>
      <c r="O19" s="58">
        <f t="shared" si="1"/>
        <v>0</v>
      </c>
      <c r="P19" s="39">
        <f t="shared" si="2"/>
        <v>3</v>
      </c>
      <c r="Q19" s="40">
        <f t="shared" si="3"/>
        <v>21</v>
      </c>
      <c r="R19" s="7"/>
      <c r="S19" s="6">
        <v>21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0.125</v>
      </c>
      <c r="AD19" s="10">
        <f t="shared" si="6"/>
        <v>0.125</v>
      </c>
      <c r="AE19" s="36">
        <f t="shared" si="7"/>
        <v>0.30072463768115942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232</v>
      </c>
      <c r="F20" s="30" t="s">
        <v>123</v>
      </c>
      <c r="G20" s="33">
        <v>1</v>
      </c>
      <c r="H20" s="35">
        <v>24</v>
      </c>
      <c r="I20" s="7">
        <v>1000</v>
      </c>
      <c r="J20" s="14">
        <v>957</v>
      </c>
      <c r="K20" s="15">
        <f>L20+957</f>
        <v>957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0.30072463768115942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162</v>
      </c>
      <c r="F21" s="30" t="s">
        <v>147</v>
      </c>
      <c r="G21" s="33">
        <v>1</v>
      </c>
      <c r="H21" s="35">
        <v>24</v>
      </c>
      <c r="I21" s="7">
        <v>32000</v>
      </c>
      <c r="J21" s="14">
        <v>3449</v>
      </c>
      <c r="K21" s="15">
        <f>L21+3118+4990+4958+4394+3422+5004+5023+5005</f>
        <v>39363</v>
      </c>
      <c r="L21" s="15">
        <f>2510+939</f>
        <v>3449</v>
      </c>
      <c r="M21" s="15">
        <f t="shared" si="0"/>
        <v>3449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>
        <v>8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6"/>
        <v>0.66666666666666663</v>
      </c>
      <c r="AE21" s="36">
        <f t="shared" si="7"/>
        <v>0.30072463768115942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127</v>
      </c>
      <c r="F22" s="12" t="s">
        <v>114</v>
      </c>
      <c r="G22" s="12">
        <v>4</v>
      </c>
      <c r="H22" s="35">
        <v>20</v>
      </c>
      <c r="I22" s="7">
        <v>1000000</v>
      </c>
      <c r="J22" s="14">
        <v>57336</v>
      </c>
      <c r="K22" s="15">
        <f>L22+50740+61508+62116+62068+58848+54656+61696+61724+33064+28160+54396+62000+61828+61480+59956+61580+19568+54948+62132+27348+33480+32292+31552+30000+54628+60676+59076+60392</f>
        <v>1479248</v>
      </c>
      <c r="L22" s="15">
        <f>7599*4+6735*4</f>
        <v>57336</v>
      </c>
      <c r="M22" s="15">
        <f t="shared" si="0"/>
        <v>57336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0.30072463768115942</v>
      </c>
      <c r="AF22" s="84">
        <f t="shared" si="8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0.30072463768115942</v>
      </c>
      <c r="AF23" s="84">
        <f t="shared" si="8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0.30072463768115942</v>
      </c>
      <c r="AF24" s="84">
        <f t="shared" si="8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0.30072463768115942</v>
      </c>
      <c r="AF25" s="84">
        <f t="shared" si="8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0.30072463768115942</v>
      </c>
      <c r="AF26" s="84">
        <f t="shared" si="8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0.30072463768115942</v>
      </c>
      <c r="AF27" s="84">
        <f t="shared" si="8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0.30072463768115942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7">SUM(I6:I28)</f>
        <v>3892700</v>
      </c>
      <c r="J29" s="19">
        <f t="shared" si="17"/>
        <v>520848</v>
      </c>
      <c r="K29" s="20">
        <f t="shared" si="17"/>
        <v>6635963</v>
      </c>
      <c r="L29" s="21">
        <f t="shared" si="17"/>
        <v>87343</v>
      </c>
      <c r="M29" s="20">
        <f t="shared" si="17"/>
        <v>87343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166</v>
      </c>
      <c r="Q29" s="43">
        <f t="shared" si="18"/>
        <v>386</v>
      </c>
      <c r="R29" s="23">
        <f t="shared" si="18"/>
        <v>8</v>
      </c>
      <c r="S29" s="24">
        <f t="shared" si="18"/>
        <v>76</v>
      </c>
      <c r="T29" s="24">
        <f t="shared" si="18"/>
        <v>9</v>
      </c>
      <c r="U29" s="24">
        <f t="shared" si="18"/>
        <v>0</v>
      </c>
      <c r="V29" s="25">
        <f t="shared" si="18"/>
        <v>0</v>
      </c>
      <c r="W29" s="26">
        <f t="shared" si="18"/>
        <v>269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24</v>
      </c>
      <c r="AB29" s="28">
        <f>AVERAGE(AB6:AB28)</f>
        <v>0.47619047619047616</v>
      </c>
      <c r="AC29" s="4">
        <f>AVERAGE(AC6:AC28)</f>
        <v>0.30072463768115942</v>
      </c>
      <c r="AD29" s="4">
        <f>AVERAGE(AD6:AD28)</f>
        <v>0.30072463768115942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315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320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200" t="s">
        <v>46</v>
      </c>
      <c r="D58" s="200" t="s">
        <v>47</v>
      </c>
      <c r="E58" s="200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200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130</v>
      </c>
      <c r="B59" s="436"/>
      <c r="C59" s="202" t="s">
        <v>223</v>
      </c>
      <c r="D59" s="202" t="s">
        <v>316</v>
      </c>
      <c r="E59" s="202" t="s">
        <v>301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201" t="s">
        <v>112</v>
      </c>
      <c r="O59" s="208" t="s">
        <v>196</v>
      </c>
      <c r="P59" s="440" t="s">
        <v>115</v>
      </c>
      <c r="Q59" s="441"/>
      <c r="R59" s="440" t="s">
        <v>164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130</v>
      </c>
      <c r="B60" s="436"/>
      <c r="C60" s="202" t="s">
        <v>223</v>
      </c>
      <c r="D60" s="202" t="s">
        <v>316</v>
      </c>
      <c r="E60" s="202" t="s">
        <v>314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201" t="s">
        <v>112</v>
      </c>
      <c r="O60" s="208" t="s">
        <v>234</v>
      </c>
      <c r="P60" s="440" t="s">
        <v>115</v>
      </c>
      <c r="Q60" s="441"/>
      <c r="R60" s="440" t="s">
        <v>232</v>
      </c>
      <c r="S60" s="442"/>
      <c r="T60" s="442"/>
      <c r="U60" s="441"/>
      <c r="V60" s="437" t="s">
        <v>226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202" t="s">
        <v>234</v>
      </c>
      <c r="D61" s="202" t="s">
        <v>115</v>
      </c>
      <c r="E61" s="202" t="s">
        <v>232</v>
      </c>
      <c r="F61" s="437" t="s">
        <v>298</v>
      </c>
      <c r="G61" s="438"/>
      <c r="H61" s="438"/>
      <c r="I61" s="438"/>
      <c r="J61" s="438"/>
      <c r="K61" s="438"/>
      <c r="L61" s="438"/>
      <c r="M61" s="439"/>
      <c r="N61" s="201" t="s">
        <v>112</v>
      </c>
      <c r="O61" s="208" t="s">
        <v>196</v>
      </c>
      <c r="P61" s="440" t="s">
        <v>129</v>
      </c>
      <c r="Q61" s="441"/>
      <c r="R61" s="440" t="s">
        <v>249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112</v>
      </c>
      <c r="B62" s="436"/>
      <c r="C62" s="202" t="s">
        <v>154</v>
      </c>
      <c r="D62" s="202" t="s">
        <v>115</v>
      </c>
      <c r="E62" s="202" t="s">
        <v>164</v>
      </c>
      <c r="F62" s="437" t="s">
        <v>317</v>
      </c>
      <c r="G62" s="438"/>
      <c r="H62" s="438"/>
      <c r="I62" s="438"/>
      <c r="J62" s="438"/>
      <c r="K62" s="438"/>
      <c r="L62" s="438"/>
      <c r="M62" s="439"/>
      <c r="N62" s="201" t="s">
        <v>130</v>
      </c>
      <c r="O62" s="208" t="s">
        <v>184</v>
      </c>
      <c r="P62" s="440" t="s">
        <v>157</v>
      </c>
      <c r="Q62" s="441"/>
      <c r="R62" s="440" t="s">
        <v>303</v>
      </c>
      <c r="S62" s="442"/>
      <c r="T62" s="442"/>
      <c r="U62" s="441"/>
      <c r="V62" s="437" t="s">
        <v>226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130</v>
      </c>
      <c r="B63" s="436"/>
      <c r="C63" s="202" t="s">
        <v>184</v>
      </c>
      <c r="D63" s="202" t="s">
        <v>157</v>
      </c>
      <c r="E63" s="202" t="s">
        <v>303</v>
      </c>
      <c r="F63" s="437" t="s">
        <v>318</v>
      </c>
      <c r="G63" s="438"/>
      <c r="H63" s="438"/>
      <c r="I63" s="438"/>
      <c r="J63" s="438"/>
      <c r="K63" s="438"/>
      <c r="L63" s="438"/>
      <c r="M63" s="439"/>
      <c r="N63" s="201" t="s">
        <v>112</v>
      </c>
      <c r="O63" s="208" t="s">
        <v>223</v>
      </c>
      <c r="P63" s="440" t="s">
        <v>155</v>
      </c>
      <c r="Q63" s="441"/>
      <c r="R63" s="440" t="s">
        <v>325</v>
      </c>
      <c r="S63" s="442"/>
      <c r="T63" s="442"/>
      <c r="U63" s="441"/>
      <c r="V63" s="437" t="s">
        <v>122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202" t="s">
        <v>233</v>
      </c>
      <c r="D64" s="202" t="s">
        <v>129</v>
      </c>
      <c r="E64" s="202" t="s">
        <v>228</v>
      </c>
      <c r="F64" s="437" t="s">
        <v>319</v>
      </c>
      <c r="G64" s="438"/>
      <c r="H64" s="438"/>
      <c r="I64" s="438"/>
      <c r="J64" s="438"/>
      <c r="K64" s="438"/>
      <c r="L64" s="438"/>
      <c r="M64" s="439"/>
      <c r="N64" s="201" t="s">
        <v>112</v>
      </c>
      <c r="O64" s="208" t="s">
        <v>245</v>
      </c>
      <c r="P64" s="440" t="s">
        <v>259</v>
      </c>
      <c r="Q64" s="441"/>
      <c r="R64" s="440" t="s">
        <v>323</v>
      </c>
      <c r="S64" s="442"/>
      <c r="T64" s="442"/>
      <c r="U64" s="441"/>
      <c r="V64" s="437" t="s">
        <v>122</v>
      </c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 t="s">
        <v>112</v>
      </c>
      <c r="B65" s="436"/>
      <c r="C65" s="202" t="s">
        <v>245</v>
      </c>
      <c r="D65" s="202" t="s">
        <v>121</v>
      </c>
      <c r="E65" s="202" t="s">
        <v>302</v>
      </c>
      <c r="F65" s="437" t="s">
        <v>122</v>
      </c>
      <c r="G65" s="438"/>
      <c r="H65" s="438"/>
      <c r="I65" s="438"/>
      <c r="J65" s="438"/>
      <c r="K65" s="438"/>
      <c r="L65" s="438"/>
      <c r="M65" s="439"/>
      <c r="N65" s="201" t="s">
        <v>112</v>
      </c>
      <c r="O65" s="208" t="s">
        <v>326</v>
      </c>
      <c r="P65" s="440" t="s">
        <v>129</v>
      </c>
      <c r="Q65" s="441"/>
      <c r="R65" s="440" t="s">
        <v>324</v>
      </c>
      <c r="S65" s="442"/>
      <c r="T65" s="442"/>
      <c r="U65" s="441"/>
      <c r="V65" s="437" t="s">
        <v>122</v>
      </c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 t="s">
        <v>112</v>
      </c>
      <c r="B66" s="454"/>
      <c r="C66" s="205" t="s">
        <v>192</v>
      </c>
      <c r="D66" s="205" t="s">
        <v>133</v>
      </c>
      <c r="E66" s="202" t="s">
        <v>321</v>
      </c>
      <c r="F66" s="437" t="s">
        <v>322</v>
      </c>
      <c r="G66" s="438"/>
      <c r="H66" s="438"/>
      <c r="I66" s="438"/>
      <c r="J66" s="438"/>
      <c r="K66" s="438"/>
      <c r="L66" s="438"/>
      <c r="M66" s="439"/>
      <c r="N66" s="201" t="s">
        <v>113</v>
      </c>
      <c r="O66" s="208" t="s">
        <v>327</v>
      </c>
      <c r="P66" s="440"/>
      <c r="Q66" s="441"/>
      <c r="R66" s="440" t="s">
        <v>328</v>
      </c>
      <c r="S66" s="442"/>
      <c r="T66" s="442"/>
      <c r="U66" s="441"/>
      <c r="V66" s="437" t="s">
        <v>122</v>
      </c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205"/>
      <c r="D67" s="205"/>
      <c r="E67" s="202"/>
      <c r="F67" s="437"/>
      <c r="G67" s="438"/>
      <c r="H67" s="438"/>
      <c r="I67" s="438"/>
      <c r="J67" s="438"/>
      <c r="K67" s="438"/>
      <c r="L67" s="438"/>
      <c r="M67" s="439"/>
      <c r="N67" s="201"/>
      <c r="O67" s="208"/>
      <c r="P67" s="436"/>
      <c r="Q67" s="436"/>
      <c r="R67" s="436"/>
      <c r="S67" s="436"/>
      <c r="T67" s="436"/>
      <c r="U67" s="436"/>
      <c r="V67" s="443"/>
      <c r="W67" s="443"/>
      <c r="X67" s="443"/>
      <c r="Y67" s="443"/>
      <c r="Z67" s="443"/>
      <c r="AA67" s="443"/>
      <c r="AB67" s="443"/>
      <c r="AC67" s="443"/>
      <c r="AD67" s="444"/>
      <c r="AF67" s="84">
        <f>8*3000</f>
        <v>24000</v>
      </c>
    </row>
    <row r="68" spans="1:32" ht="27" customHeight="1" thickBot="1">
      <c r="A68" s="445"/>
      <c r="B68" s="446"/>
      <c r="C68" s="203"/>
      <c r="D68" s="204"/>
      <c r="E68" s="203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329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206" t="s">
        <v>2</v>
      </c>
      <c r="D70" s="206" t="s">
        <v>37</v>
      </c>
      <c r="E70" s="206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206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130</v>
      </c>
      <c r="D71" s="210"/>
      <c r="E71" s="207" t="s">
        <v>133</v>
      </c>
      <c r="F71" s="464" t="s">
        <v>330</v>
      </c>
      <c r="G71" s="465"/>
      <c r="H71" s="465"/>
      <c r="I71" s="465"/>
      <c r="J71" s="465"/>
      <c r="K71" s="465" t="s">
        <v>289</v>
      </c>
      <c r="L71" s="465"/>
      <c r="M71" s="51" t="s">
        <v>214</v>
      </c>
      <c r="N71" s="466" t="s">
        <v>148</v>
      </c>
      <c r="O71" s="466"/>
      <c r="P71" s="467">
        <v>100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112</v>
      </c>
      <c r="D72" s="210"/>
      <c r="E72" s="207" t="s">
        <v>115</v>
      </c>
      <c r="F72" s="464" t="s">
        <v>203</v>
      </c>
      <c r="G72" s="465"/>
      <c r="H72" s="465"/>
      <c r="I72" s="465"/>
      <c r="J72" s="465"/>
      <c r="K72" s="465" t="s">
        <v>123</v>
      </c>
      <c r="L72" s="465"/>
      <c r="M72" s="51" t="s">
        <v>214</v>
      </c>
      <c r="N72" s="466" t="s">
        <v>192</v>
      </c>
      <c r="O72" s="466"/>
      <c r="P72" s="467">
        <v>100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/>
      <c r="D73" s="210"/>
      <c r="E73" s="207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/>
      <c r="D74" s="210"/>
      <c r="E74" s="207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210"/>
      <c r="E75" s="207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210"/>
      <c r="E76" s="207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210"/>
      <c r="E77" s="207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210"/>
      <c r="E78" s="207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210"/>
      <c r="E79" s="207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210"/>
      <c r="E80" s="207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331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209" t="s">
        <v>2</v>
      </c>
      <c r="D82" s="209" t="s">
        <v>37</v>
      </c>
      <c r="E82" s="209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211"/>
      <c r="D83" s="211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210"/>
      <c r="D84" s="210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9">A84+1</f>
        <v>3</v>
      </c>
      <c r="B85" s="481"/>
      <c r="C85" s="210"/>
      <c r="D85" s="210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9"/>
        <v>4</v>
      </c>
      <c r="B86" s="481"/>
      <c r="C86" s="210"/>
      <c r="D86" s="210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9"/>
        <v>5</v>
      </c>
      <c r="B87" s="481"/>
      <c r="C87" s="210"/>
      <c r="D87" s="210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9"/>
        <v>6</v>
      </c>
      <c r="B88" s="481"/>
      <c r="C88" s="210"/>
      <c r="D88" s="210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9"/>
        <v>7</v>
      </c>
      <c r="B89" s="481"/>
      <c r="C89" s="210"/>
      <c r="D89" s="210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332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88A-E765-4056-B869-2B2D00620C81}">
  <sheetPr codeName="Sheet9">
    <pageSetUpPr fitToPage="1"/>
  </sheetPr>
  <dimension ref="A1:AF93"/>
  <sheetViews>
    <sheetView view="pageBreakPreview" zoomScale="70" zoomScaleNormal="72" zoomScaleSheetLayoutView="70" workbookViewId="0">
      <selection activeCell="F85" sqref="F85:J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333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224" t="s">
        <v>17</v>
      </c>
      <c r="L5" s="224" t="s">
        <v>18</v>
      </c>
      <c r="M5" s="224" t="s">
        <v>19</v>
      </c>
      <c r="N5" s="2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4</v>
      </c>
      <c r="H6" s="13">
        <v>24</v>
      </c>
      <c r="I6" s="31">
        <v>150000</v>
      </c>
      <c r="J6" s="14">
        <v>6596</v>
      </c>
      <c r="K6" s="15">
        <f>L6</f>
        <v>6596</v>
      </c>
      <c r="L6" s="15">
        <f>1210*4+439*4</f>
        <v>6596</v>
      </c>
      <c r="M6" s="15">
        <f t="shared" ref="M6:M27" si="0">L6-N6</f>
        <v>6596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9</v>
      </c>
      <c r="Q6" s="40">
        <f t="shared" ref="Q6:Q27" si="3">SUM(R6:AA6)</f>
        <v>15</v>
      </c>
      <c r="R6" s="7"/>
      <c r="S6" s="6">
        <v>15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0.375</v>
      </c>
      <c r="AD6" s="10">
        <f t="shared" ref="AD6:AD27" si="6">AC6*AB6*(1-O6)</f>
        <v>0.375</v>
      </c>
      <c r="AE6" s="36">
        <f t="shared" ref="AE6:AE27" si="7">$AD$28</f>
        <v>0.27504566350613635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155</v>
      </c>
      <c r="E7" s="53" t="s">
        <v>188</v>
      </c>
      <c r="F7" s="30" t="s">
        <v>153</v>
      </c>
      <c r="G7" s="12">
        <v>3</v>
      </c>
      <c r="H7" s="13">
        <v>24</v>
      </c>
      <c r="I7" s="31">
        <v>49000</v>
      </c>
      <c r="J7" s="14">
        <v>18981</v>
      </c>
      <c r="K7" s="15">
        <f>L7+17244+18687+19389+19719+18981</f>
        <v>94020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0.27504566350613635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256</v>
      </c>
      <c r="D8" s="52"/>
      <c r="E8" s="53" t="s">
        <v>257</v>
      </c>
      <c r="F8" s="30" t="s">
        <v>258</v>
      </c>
      <c r="G8" s="12">
        <v>1</v>
      </c>
      <c r="H8" s="13">
        <v>24</v>
      </c>
      <c r="I8" s="7">
        <v>20000</v>
      </c>
      <c r="J8" s="14">
        <v>4081</v>
      </c>
      <c r="K8" s="15">
        <f>L8+3288+4962+3108+5473</f>
        <v>20912</v>
      </c>
      <c r="L8" s="15">
        <f>1559+2522</f>
        <v>4081</v>
      </c>
      <c r="M8" s="15">
        <f t="shared" si="0"/>
        <v>4081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0.27504566350613635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129</v>
      </c>
      <c r="E9" s="53" t="s">
        <v>228</v>
      </c>
      <c r="F9" s="30" t="s">
        <v>124</v>
      </c>
      <c r="G9" s="12">
        <v>1</v>
      </c>
      <c r="H9" s="13">
        <v>24</v>
      </c>
      <c r="I9" s="7">
        <v>35000</v>
      </c>
      <c r="J9" s="14">
        <v>4196</v>
      </c>
      <c r="K9" s="15">
        <f>L9+5140+2859+4218+5443+3499</f>
        <v>25355</v>
      </c>
      <c r="L9" s="15">
        <f>2750+1446</f>
        <v>4196</v>
      </c>
      <c r="M9" s="15">
        <f t="shared" si="0"/>
        <v>4196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0.27504566350613635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121</v>
      </c>
      <c r="E10" s="53" t="s">
        <v>276</v>
      </c>
      <c r="F10" s="30" t="s">
        <v>132</v>
      </c>
      <c r="G10" s="33">
        <v>1</v>
      </c>
      <c r="H10" s="35">
        <v>24</v>
      </c>
      <c r="I10" s="7">
        <v>13000</v>
      </c>
      <c r="J10" s="14">
        <v>3828</v>
      </c>
      <c r="K10" s="15">
        <f>L10+3636+6265+3828</f>
        <v>13729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0.27504566350613635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259</v>
      </c>
      <c r="E11" s="53" t="s">
        <v>260</v>
      </c>
      <c r="F11" s="30" t="s">
        <v>144</v>
      </c>
      <c r="G11" s="33">
        <v>2</v>
      </c>
      <c r="H11" s="35">
        <v>24</v>
      </c>
      <c r="I11" s="7">
        <v>6000</v>
      </c>
      <c r="J11" s="14">
        <v>6140</v>
      </c>
      <c r="K11" s="15">
        <f>L11+6140</f>
        <v>6140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0.27504566350613635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296</v>
      </c>
      <c r="F12" s="30" t="s">
        <v>123</v>
      </c>
      <c r="G12" s="12">
        <v>1</v>
      </c>
      <c r="H12" s="13">
        <v>22</v>
      </c>
      <c r="I12" s="31">
        <v>14000</v>
      </c>
      <c r="J12" s="5">
        <v>5014</v>
      </c>
      <c r="K12" s="15">
        <f>L12+2795+5248</f>
        <v>13057</v>
      </c>
      <c r="L12" s="15">
        <f>2648+2366</f>
        <v>5014</v>
      </c>
      <c r="M12" s="15">
        <f t="shared" si="0"/>
        <v>5014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0.27504566350613635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323</v>
      </c>
      <c r="F13" s="30" t="s">
        <v>123</v>
      </c>
      <c r="G13" s="33">
        <v>4</v>
      </c>
      <c r="H13" s="35">
        <v>22</v>
      </c>
      <c r="I13" s="7">
        <v>150000</v>
      </c>
      <c r="J13" s="14">
        <v>23364</v>
      </c>
      <c r="K13" s="15">
        <f>L13</f>
        <v>23364</v>
      </c>
      <c r="L13" s="15">
        <f>2488*4+3353*4</f>
        <v>23364</v>
      </c>
      <c r="M13" s="15">
        <f t="shared" si="0"/>
        <v>23364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0.27504566350613635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214</v>
      </c>
      <c r="K14" s="15">
        <f>L14+214</f>
        <v>214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0.27504566350613635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0.27504566350613635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129</v>
      </c>
      <c r="E16" s="53" t="s">
        <v>249</v>
      </c>
      <c r="F16" s="30" t="s">
        <v>124</v>
      </c>
      <c r="G16" s="12">
        <v>2</v>
      </c>
      <c r="H16" s="13">
        <v>24</v>
      </c>
      <c r="I16" s="7">
        <v>6000</v>
      </c>
      <c r="J16" s="14">
        <v>6212</v>
      </c>
      <c r="K16" s="15">
        <f>L16</f>
        <v>6212</v>
      </c>
      <c r="L16" s="15">
        <f>3106*2</f>
        <v>6212</v>
      </c>
      <c r="M16" s="15">
        <f t="shared" si="0"/>
        <v>6212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6">
        <f t="shared" si="7"/>
        <v>0.27504566350613635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157</v>
      </c>
      <c r="E17" s="53" t="s">
        <v>303</v>
      </c>
      <c r="F17" s="30" t="s">
        <v>289</v>
      </c>
      <c r="G17" s="12">
        <v>2</v>
      </c>
      <c r="H17" s="13">
        <v>24</v>
      </c>
      <c r="I17" s="7">
        <v>5000</v>
      </c>
      <c r="J17" s="14">
        <v>3287</v>
      </c>
      <c r="K17" s="15">
        <f>L17</f>
        <v>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0.27504566350613635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112</v>
      </c>
      <c r="D18" s="52" t="s">
        <v>115</v>
      </c>
      <c r="E18" s="53" t="s">
        <v>164</v>
      </c>
      <c r="F18" s="30" t="s">
        <v>123</v>
      </c>
      <c r="G18" s="12">
        <v>1</v>
      </c>
      <c r="H18" s="13">
        <v>22</v>
      </c>
      <c r="I18" s="31">
        <v>32000</v>
      </c>
      <c r="J18" s="5">
        <v>537</v>
      </c>
      <c r="K18" s="15">
        <f>L18+2140+2088+3960+1869+3592+3607+2978+4572+4250+928+1211+537</f>
        <v>31732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0.27504566350613635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232</v>
      </c>
      <c r="F19" s="30" t="s">
        <v>123</v>
      </c>
      <c r="G19" s="33">
        <v>1</v>
      </c>
      <c r="H19" s="35">
        <v>24</v>
      </c>
      <c r="I19" s="7">
        <v>1000</v>
      </c>
      <c r="J19" s="14">
        <v>526</v>
      </c>
      <c r="K19" s="15">
        <f>L19+957</f>
        <v>1483</v>
      </c>
      <c r="L19" s="15">
        <f>327+199</f>
        <v>526</v>
      </c>
      <c r="M19" s="15">
        <f t="shared" si="0"/>
        <v>526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>
        <v>7</v>
      </c>
      <c r="T19" s="16"/>
      <c r="U19" s="16"/>
      <c r="V19" s="17"/>
      <c r="W19" s="5">
        <v>5</v>
      </c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 t="shared" si="7"/>
        <v>0.27504566350613635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150000</v>
      </c>
      <c r="J20" s="14">
        <v>16242</v>
      </c>
      <c r="K20" s="15">
        <f>L20</f>
        <v>16424</v>
      </c>
      <c r="L20" s="15">
        <f>1391*4+2715*4</f>
        <v>16424</v>
      </c>
      <c r="M20" s="15">
        <f t="shared" si="0"/>
        <v>16424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1.0112055165619998</v>
      </c>
      <c r="AC20" s="9">
        <f t="shared" si="5"/>
        <v>0.83333333333333337</v>
      </c>
      <c r="AD20" s="10">
        <f t="shared" si="6"/>
        <v>0.84267126380166646</v>
      </c>
      <c r="AE20" s="36">
        <f t="shared" si="7"/>
        <v>0.27504566350613635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57336</v>
      </c>
      <c r="K21" s="15">
        <f>L21</f>
        <v>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0.27504566350613635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0.27504566350613635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0.27504566350613635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0.27504566350613635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0.27504566350613635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0.27504566350613635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0.27504566350613635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3603100</v>
      </c>
      <c r="J28" s="19">
        <f t="shared" si="9"/>
        <v>549462</v>
      </c>
      <c r="K28" s="20">
        <f t="shared" si="9"/>
        <v>5159078</v>
      </c>
      <c r="L28" s="21">
        <f t="shared" si="9"/>
        <v>66413</v>
      </c>
      <c r="M28" s="20">
        <f t="shared" si="9"/>
        <v>66413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145</v>
      </c>
      <c r="Q28" s="43">
        <f t="shared" si="10"/>
        <v>383</v>
      </c>
      <c r="R28" s="23">
        <f t="shared" si="10"/>
        <v>0</v>
      </c>
      <c r="S28" s="24">
        <f t="shared" si="10"/>
        <v>114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269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0.40056027582810005</v>
      </c>
      <c r="AC28" s="4">
        <f>AVERAGE(AC6:AC27)</f>
        <v>0.2746212121212121</v>
      </c>
      <c r="AD28" s="4">
        <f>AVERAGE(AD6:AD27)</f>
        <v>0.27504566350613635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335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340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223" t="s">
        <v>46</v>
      </c>
      <c r="D57" s="223" t="s">
        <v>47</v>
      </c>
      <c r="E57" s="223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223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219" t="s">
        <v>223</v>
      </c>
      <c r="D58" s="219" t="s">
        <v>155</v>
      </c>
      <c r="E58" s="219" t="s">
        <v>325</v>
      </c>
      <c r="F58" s="437" t="s">
        <v>336</v>
      </c>
      <c r="G58" s="438"/>
      <c r="H58" s="438"/>
      <c r="I58" s="438"/>
      <c r="J58" s="438"/>
      <c r="K58" s="438"/>
      <c r="L58" s="438"/>
      <c r="M58" s="439"/>
      <c r="N58" s="222" t="s">
        <v>112</v>
      </c>
      <c r="O58" s="216" t="s">
        <v>196</v>
      </c>
      <c r="P58" s="440" t="s">
        <v>115</v>
      </c>
      <c r="Q58" s="441"/>
      <c r="R58" s="440" t="s">
        <v>164</v>
      </c>
      <c r="S58" s="442"/>
      <c r="T58" s="442"/>
      <c r="U58" s="441"/>
      <c r="V58" s="437" t="s">
        <v>226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256</v>
      </c>
      <c r="B59" s="436"/>
      <c r="C59" s="219" t="s">
        <v>191</v>
      </c>
      <c r="D59" s="219"/>
      <c r="E59" s="219" t="s">
        <v>257</v>
      </c>
      <c r="F59" s="437" t="s">
        <v>278</v>
      </c>
      <c r="G59" s="438"/>
      <c r="H59" s="438"/>
      <c r="I59" s="438"/>
      <c r="J59" s="438"/>
      <c r="K59" s="438"/>
      <c r="L59" s="438"/>
      <c r="M59" s="439"/>
      <c r="N59" s="222" t="s">
        <v>112</v>
      </c>
      <c r="O59" s="216" t="s">
        <v>223</v>
      </c>
      <c r="P59" s="440" t="s">
        <v>155</v>
      </c>
      <c r="Q59" s="441"/>
      <c r="R59" s="440" t="s">
        <v>325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219" t="s">
        <v>234</v>
      </c>
      <c r="D60" s="219" t="s">
        <v>115</v>
      </c>
      <c r="E60" s="219" t="s">
        <v>232</v>
      </c>
      <c r="F60" s="437" t="s">
        <v>337</v>
      </c>
      <c r="G60" s="438"/>
      <c r="H60" s="438"/>
      <c r="I60" s="438"/>
      <c r="J60" s="438"/>
      <c r="K60" s="438"/>
      <c r="L60" s="438"/>
      <c r="M60" s="439"/>
      <c r="N60" s="222" t="s">
        <v>113</v>
      </c>
      <c r="O60" s="216" t="s">
        <v>327</v>
      </c>
      <c r="P60" s="440"/>
      <c r="Q60" s="441"/>
      <c r="R60" s="440" t="s">
        <v>328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219" t="s">
        <v>196</v>
      </c>
      <c r="D61" s="219" t="s">
        <v>115</v>
      </c>
      <c r="E61" s="219" t="s">
        <v>164</v>
      </c>
      <c r="F61" s="437" t="s">
        <v>338</v>
      </c>
      <c r="G61" s="438"/>
      <c r="H61" s="438"/>
      <c r="I61" s="438"/>
      <c r="J61" s="438"/>
      <c r="K61" s="438"/>
      <c r="L61" s="438"/>
      <c r="M61" s="439"/>
      <c r="N61" s="222" t="s">
        <v>145</v>
      </c>
      <c r="O61" s="216" t="s">
        <v>192</v>
      </c>
      <c r="P61" s="440"/>
      <c r="Q61" s="441"/>
      <c r="R61" s="440" t="s">
        <v>341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112</v>
      </c>
      <c r="B62" s="436"/>
      <c r="C62" s="219" t="s">
        <v>245</v>
      </c>
      <c r="D62" s="219" t="s">
        <v>259</v>
      </c>
      <c r="E62" s="219" t="s">
        <v>323</v>
      </c>
      <c r="F62" s="437" t="s">
        <v>122</v>
      </c>
      <c r="G62" s="438"/>
      <c r="H62" s="438"/>
      <c r="I62" s="438"/>
      <c r="J62" s="438"/>
      <c r="K62" s="438"/>
      <c r="L62" s="438"/>
      <c r="M62" s="439"/>
      <c r="N62" s="222" t="s">
        <v>256</v>
      </c>
      <c r="O62" s="216" t="s">
        <v>191</v>
      </c>
      <c r="P62" s="440"/>
      <c r="Q62" s="441"/>
      <c r="R62" s="440" t="s">
        <v>257</v>
      </c>
      <c r="S62" s="442"/>
      <c r="T62" s="442"/>
      <c r="U62" s="441"/>
      <c r="V62" s="437" t="s">
        <v>226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219" t="s">
        <v>233</v>
      </c>
      <c r="D63" s="219" t="s">
        <v>129</v>
      </c>
      <c r="E63" s="219" t="s">
        <v>228</v>
      </c>
      <c r="F63" s="437" t="s">
        <v>226</v>
      </c>
      <c r="G63" s="438"/>
      <c r="H63" s="438"/>
      <c r="I63" s="438"/>
      <c r="J63" s="438"/>
      <c r="K63" s="438"/>
      <c r="L63" s="438"/>
      <c r="M63" s="439"/>
      <c r="N63" s="222"/>
      <c r="O63" s="216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219" t="s">
        <v>326</v>
      </c>
      <c r="D64" s="219" t="s">
        <v>129</v>
      </c>
      <c r="E64" s="219" t="s">
        <v>324</v>
      </c>
      <c r="F64" s="437" t="s">
        <v>339</v>
      </c>
      <c r="G64" s="438"/>
      <c r="H64" s="438"/>
      <c r="I64" s="438"/>
      <c r="J64" s="438"/>
      <c r="K64" s="438"/>
      <c r="L64" s="438"/>
      <c r="M64" s="439"/>
      <c r="N64" s="222"/>
      <c r="O64" s="216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 t="s">
        <v>112</v>
      </c>
      <c r="B65" s="454"/>
      <c r="C65" s="218" t="s">
        <v>192</v>
      </c>
      <c r="D65" s="218" t="s">
        <v>129</v>
      </c>
      <c r="E65" s="219" t="s">
        <v>249</v>
      </c>
      <c r="F65" s="437" t="s">
        <v>122</v>
      </c>
      <c r="G65" s="438"/>
      <c r="H65" s="438"/>
      <c r="I65" s="438"/>
      <c r="J65" s="438"/>
      <c r="K65" s="438"/>
      <c r="L65" s="438"/>
      <c r="M65" s="439"/>
      <c r="N65" s="222"/>
      <c r="O65" s="216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218"/>
      <c r="D66" s="218"/>
      <c r="E66" s="219"/>
      <c r="F66" s="437"/>
      <c r="G66" s="438"/>
      <c r="H66" s="438"/>
      <c r="I66" s="438"/>
      <c r="J66" s="438"/>
      <c r="K66" s="438"/>
      <c r="L66" s="438"/>
      <c r="M66" s="439"/>
      <c r="N66" s="222"/>
      <c r="O66" s="216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220"/>
      <c r="D67" s="221"/>
      <c r="E67" s="220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342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217" t="s">
        <v>2</v>
      </c>
      <c r="D69" s="217" t="s">
        <v>37</v>
      </c>
      <c r="E69" s="217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217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130</v>
      </c>
      <c r="D70" s="212"/>
      <c r="E70" s="215" t="s">
        <v>133</v>
      </c>
      <c r="F70" s="464" t="s">
        <v>343</v>
      </c>
      <c r="G70" s="465"/>
      <c r="H70" s="465"/>
      <c r="I70" s="465"/>
      <c r="J70" s="465"/>
      <c r="K70" s="465" t="s">
        <v>344</v>
      </c>
      <c r="L70" s="465"/>
      <c r="M70" s="51" t="s">
        <v>214</v>
      </c>
      <c r="N70" s="466" t="s">
        <v>148</v>
      </c>
      <c r="O70" s="466"/>
      <c r="P70" s="467">
        <v>100</v>
      </c>
      <c r="Q70" s="467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116</v>
      </c>
      <c r="D71" s="212"/>
      <c r="E71" s="215" t="s">
        <v>121</v>
      </c>
      <c r="F71" s="464" t="s">
        <v>269</v>
      </c>
      <c r="G71" s="465"/>
      <c r="H71" s="465"/>
      <c r="I71" s="465"/>
      <c r="J71" s="465"/>
      <c r="K71" s="465" t="s">
        <v>132</v>
      </c>
      <c r="L71" s="465"/>
      <c r="M71" s="51" t="s">
        <v>214</v>
      </c>
      <c r="N71" s="466" t="s">
        <v>199</v>
      </c>
      <c r="O71" s="466"/>
      <c r="P71" s="467">
        <v>100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/>
      <c r="D72" s="212"/>
      <c r="E72" s="215"/>
      <c r="F72" s="469"/>
      <c r="G72" s="470"/>
      <c r="H72" s="470"/>
      <c r="I72" s="470"/>
      <c r="J72" s="471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212"/>
      <c r="E73" s="215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212"/>
      <c r="E74" s="215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212"/>
      <c r="E75" s="215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212"/>
      <c r="E76" s="215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212"/>
      <c r="E77" s="215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212"/>
      <c r="E78" s="215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212"/>
      <c r="E79" s="215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345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214" t="s">
        <v>2</v>
      </c>
      <c r="D81" s="214" t="s">
        <v>37</v>
      </c>
      <c r="E81" s="214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213"/>
      <c r="D82" s="213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212"/>
      <c r="D83" s="212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212"/>
      <c r="D84" s="212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212"/>
      <c r="D85" s="212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212"/>
      <c r="D86" s="212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212"/>
      <c r="D87" s="212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212"/>
      <c r="D88" s="212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346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0F65-022D-45C5-BF2E-69D8A643288E}">
  <sheetPr codeName="Sheet10">
    <pageSetUpPr fitToPage="1"/>
  </sheetPr>
  <dimension ref="A1:AF93"/>
  <sheetViews>
    <sheetView view="pageBreakPreview" zoomScale="70" zoomScaleNormal="72" zoomScaleSheetLayoutView="70" workbookViewId="0">
      <selection activeCell="F71" sqref="F71:J7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347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225" t="s">
        <v>17</v>
      </c>
      <c r="L5" s="225" t="s">
        <v>18</v>
      </c>
      <c r="M5" s="225" t="s">
        <v>19</v>
      </c>
      <c r="N5" s="2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4</v>
      </c>
      <c r="H6" s="13">
        <v>24</v>
      </c>
      <c r="I6" s="31">
        <v>150000</v>
      </c>
      <c r="J6" s="14">
        <v>6596</v>
      </c>
      <c r="K6" s="15">
        <f>L6+6596</f>
        <v>6596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0.27272727272727271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133</v>
      </c>
      <c r="E7" s="53" t="s">
        <v>348</v>
      </c>
      <c r="F7" s="30" t="s">
        <v>125</v>
      </c>
      <c r="G7" s="12">
        <v>3</v>
      </c>
      <c r="H7" s="13">
        <v>24</v>
      </c>
      <c r="I7" s="31">
        <v>38000</v>
      </c>
      <c r="J7" s="14">
        <v>8514</v>
      </c>
      <c r="K7" s="15">
        <f>L7</f>
        <v>8514</v>
      </c>
      <c r="L7" s="15">
        <f>2517*3+321*3</f>
        <v>8514</v>
      </c>
      <c r="M7" s="15">
        <f t="shared" si="0"/>
        <v>8514</v>
      </c>
      <c r="N7" s="15">
        <v>0</v>
      </c>
      <c r="O7" s="58">
        <f t="shared" si="1"/>
        <v>0</v>
      </c>
      <c r="P7" s="39">
        <f t="shared" si="2"/>
        <v>13</v>
      </c>
      <c r="Q7" s="40">
        <f t="shared" si="3"/>
        <v>11</v>
      </c>
      <c r="R7" s="7"/>
      <c r="S7" s="6">
        <v>11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0.54166666666666663</v>
      </c>
      <c r="AD7" s="10">
        <f t="shared" si="6"/>
        <v>0.54166666666666663</v>
      </c>
      <c r="AE7" s="36">
        <f t="shared" si="7"/>
        <v>0.27272727272727271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116</v>
      </c>
      <c r="D8" s="52" t="s">
        <v>121</v>
      </c>
      <c r="E8" s="53" t="s">
        <v>349</v>
      </c>
      <c r="F8" s="30" t="s">
        <v>350</v>
      </c>
      <c r="G8" s="12">
        <v>4</v>
      </c>
      <c r="H8" s="13">
        <v>24</v>
      </c>
      <c r="I8" s="7">
        <v>38000</v>
      </c>
      <c r="J8" s="14">
        <v>12772</v>
      </c>
      <c r="K8" s="15">
        <f>L8</f>
        <v>12772</v>
      </c>
      <c r="L8" s="15">
        <f>331*4+2862*4</f>
        <v>12772</v>
      </c>
      <c r="M8" s="15">
        <f t="shared" si="0"/>
        <v>12772</v>
      </c>
      <c r="N8" s="15">
        <v>0</v>
      </c>
      <c r="O8" s="58">
        <f t="shared" si="1"/>
        <v>0</v>
      </c>
      <c r="P8" s="39">
        <f t="shared" si="2"/>
        <v>15</v>
      </c>
      <c r="Q8" s="40">
        <f t="shared" si="3"/>
        <v>9</v>
      </c>
      <c r="R8" s="7"/>
      <c r="S8" s="6">
        <v>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0.625</v>
      </c>
      <c r="AD8" s="10">
        <f t="shared" si="6"/>
        <v>0.625</v>
      </c>
      <c r="AE8" s="36">
        <f t="shared" si="7"/>
        <v>0.27272727272727271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129</v>
      </c>
      <c r="E9" s="53" t="s">
        <v>228</v>
      </c>
      <c r="F9" s="30" t="s">
        <v>124</v>
      </c>
      <c r="G9" s="12">
        <v>1</v>
      </c>
      <c r="H9" s="13">
        <v>24</v>
      </c>
      <c r="I9" s="7">
        <v>35000</v>
      </c>
      <c r="J9" s="14">
        <v>5464</v>
      </c>
      <c r="K9" s="15">
        <f>L9+5140+2859+4218+5443+3499+4196</f>
        <v>30819</v>
      </c>
      <c r="L9" s="15">
        <f>2737+2727</f>
        <v>5464</v>
      </c>
      <c r="M9" s="15">
        <f t="shared" si="0"/>
        <v>5464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0.27272727272727271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121</v>
      </c>
      <c r="E10" s="53" t="s">
        <v>287</v>
      </c>
      <c r="F10" s="30" t="s">
        <v>132</v>
      </c>
      <c r="G10" s="33">
        <v>2</v>
      </c>
      <c r="H10" s="35">
        <v>24</v>
      </c>
      <c r="I10" s="7">
        <v>300</v>
      </c>
      <c r="J10" s="14">
        <v>300</v>
      </c>
      <c r="K10" s="15">
        <f>L10</f>
        <v>300</v>
      </c>
      <c r="L10" s="15">
        <v>300</v>
      </c>
      <c r="M10" s="15">
        <f t="shared" si="0"/>
        <v>300</v>
      </c>
      <c r="N10" s="15">
        <v>0</v>
      </c>
      <c r="O10" s="58">
        <f t="shared" si="1"/>
        <v>0</v>
      </c>
      <c r="P10" s="39">
        <f t="shared" si="2"/>
        <v>2</v>
      </c>
      <c r="Q10" s="40">
        <f t="shared" si="3"/>
        <v>22</v>
      </c>
      <c r="R10" s="7"/>
      <c r="S10" s="6"/>
      <c r="T10" s="16"/>
      <c r="U10" s="16"/>
      <c r="V10" s="17"/>
      <c r="W10" s="5">
        <v>22</v>
      </c>
      <c r="X10" s="16"/>
      <c r="Y10" s="16"/>
      <c r="Z10" s="16"/>
      <c r="AA10" s="18"/>
      <c r="AB10" s="8">
        <f t="shared" si="4"/>
        <v>1</v>
      </c>
      <c r="AC10" s="9">
        <f t="shared" si="5"/>
        <v>8.3333333333333329E-2</v>
      </c>
      <c r="AD10" s="10">
        <f t="shared" si="6"/>
        <v>8.3333333333333329E-2</v>
      </c>
      <c r="AE10" s="36">
        <f t="shared" si="7"/>
        <v>0.27272727272727271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115</v>
      </c>
      <c r="E11" s="53" t="s">
        <v>270</v>
      </c>
      <c r="F11" s="30" t="s">
        <v>271</v>
      </c>
      <c r="G11" s="33">
        <v>1</v>
      </c>
      <c r="H11" s="35">
        <v>24</v>
      </c>
      <c r="I11" s="7">
        <v>300</v>
      </c>
      <c r="J11" s="14">
        <v>300</v>
      </c>
      <c r="K11" s="15">
        <f>L11</f>
        <v>300</v>
      </c>
      <c r="L11" s="15">
        <v>300</v>
      </c>
      <c r="M11" s="15">
        <f t="shared" si="0"/>
        <v>300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6">
        <f t="shared" si="7"/>
        <v>0.27272727272727271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296</v>
      </c>
      <c r="F12" s="30" t="s">
        <v>123</v>
      </c>
      <c r="G12" s="12">
        <v>1</v>
      </c>
      <c r="H12" s="13">
        <v>22</v>
      </c>
      <c r="I12" s="31">
        <v>14000</v>
      </c>
      <c r="J12" s="5">
        <v>2471</v>
      </c>
      <c r="K12" s="15">
        <f>L12+2795+5248+5014</f>
        <v>15528</v>
      </c>
      <c r="L12" s="15">
        <f>2226+245</f>
        <v>2471</v>
      </c>
      <c r="M12" s="15">
        <f t="shared" si="0"/>
        <v>2471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>
        <v>3</v>
      </c>
      <c r="T12" s="16"/>
      <c r="U12" s="16"/>
      <c r="V12" s="17"/>
      <c r="W12" s="5">
        <v>11</v>
      </c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6">
        <f t="shared" si="7"/>
        <v>0.27272727272727271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323</v>
      </c>
      <c r="F13" s="30" t="s">
        <v>123</v>
      </c>
      <c r="G13" s="33">
        <v>4</v>
      </c>
      <c r="H13" s="35">
        <v>22</v>
      </c>
      <c r="I13" s="7">
        <v>150000</v>
      </c>
      <c r="J13" s="14">
        <v>21016</v>
      </c>
      <c r="K13" s="15">
        <f>L13+23364</f>
        <v>44380</v>
      </c>
      <c r="L13" s="15">
        <f>3342*4+1912*4</f>
        <v>21016</v>
      </c>
      <c r="M13" s="15">
        <f t="shared" si="0"/>
        <v>21016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0.27272727272727271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214</v>
      </c>
      <c r="K14" s="15">
        <f>L14+214</f>
        <v>214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0.27272727272727271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0.27272727272727271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145</v>
      </c>
      <c r="D16" s="52"/>
      <c r="E16" s="53" t="s">
        <v>341</v>
      </c>
      <c r="F16" s="30" t="s">
        <v>146</v>
      </c>
      <c r="G16" s="12">
        <v>29</v>
      </c>
      <c r="H16" s="13">
        <v>24</v>
      </c>
      <c r="I16" s="7">
        <v>600000</v>
      </c>
      <c r="J16" s="14">
        <v>290377</v>
      </c>
      <c r="K16" s="15">
        <f>L16</f>
        <v>290377</v>
      </c>
      <c r="L16" s="15">
        <f>4624*29+5389*29</f>
        <v>290377</v>
      </c>
      <c r="M16" s="15">
        <f t="shared" si="0"/>
        <v>290377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0.27272727272727271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157</v>
      </c>
      <c r="E17" s="53" t="s">
        <v>303</v>
      </c>
      <c r="F17" s="30" t="s">
        <v>289</v>
      </c>
      <c r="G17" s="12">
        <v>2</v>
      </c>
      <c r="H17" s="13">
        <v>24</v>
      </c>
      <c r="I17" s="7">
        <v>5000</v>
      </c>
      <c r="J17" s="14">
        <v>3287</v>
      </c>
      <c r="K17" s="15">
        <f>L17</f>
        <v>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0.27272727272727271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112</v>
      </c>
      <c r="D18" s="52" t="s">
        <v>115</v>
      </c>
      <c r="E18" s="53" t="s">
        <v>164</v>
      </c>
      <c r="F18" s="30" t="s">
        <v>123</v>
      </c>
      <c r="G18" s="12">
        <v>1</v>
      </c>
      <c r="H18" s="13">
        <v>22</v>
      </c>
      <c r="I18" s="31">
        <v>32000</v>
      </c>
      <c r="J18" s="5">
        <v>4272</v>
      </c>
      <c r="K18" s="15">
        <f>L18+2140+2088+3960+1869+3592+3607+2978+4572+4250+928+1211+537</f>
        <v>36004</v>
      </c>
      <c r="L18" s="15">
        <f>1649+2623</f>
        <v>4272</v>
      </c>
      <c r="M18" s="15">
        <f t="shared" si="0"/>
        <v>4272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0.27272727272727271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116</v>
      </c>
      <c r="D19" s="52" t="s">
        <v>155</v>
      </c>
      <c r="E19" s="53" t="s">
        <v>351</v>
      </c>
      <c r="F19" s="30" t="s">
        <v>144</v>
      </c>
      <c r="G19" s="33">
        <v>1</v>
      </c>
      <c r="H19" s="35">
        <v>24</v>
      </c>
      <c r="I19" s="7">
        <v>500</v>
      </c>
      <c r="J19" s="14">
        <v>800</v>
      </c>
      <c r="K19" s="15">
        <f>L19</f>
        <v>800</v>
      </c>
      <c r="L19" s="15">
        <f>800</f>
        <v>800</v>
      </c>
      <c r="M19" s="15">
        <f t="shared" si="0"/>
        <v>800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7"/>
        <v>0.27272727272727271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150000</v>
      </c>
      <c r="J20" s="14">
        <v>3460</v>
      </c>
      <c r="K20" s="15">
        <f>L20+16424</f>
        <v>19884</v>
      </c>
      <c r="L20" s="15">
        <f>865*4</f>
        <v>3460</v>
      </c>
      <c r="M20" s="15">
        <f t="shared" si="0"/>
        <v>3460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20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 t="shared" si="7"/>
        <v>0.27272727272727271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57336</v>
      </c>
      <c r="K21" s="15">
        <f>L21</f>
        <v>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0.27272727272727271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0.27272727272727271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0.27272727272727271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0.27272727272727271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0.27272727272727271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0.27272727272727271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0.27272727272727271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4185200</v>
      </c>
      <c r="J28" s="19">
        <f t="shared" si="9"/>
        <v>810087</v>
      </c>
      <c r="K28" s="20">
        <f t="shared" si="9"/>
        <v>5366328</v>
      </c>
      <c r="L28" s="21">
        <f t="shared" si="9"/>
        <v>349746</v>
      </c>
      <c r="M28" s="20">
        <f t="shared" si="9"/>
        <v>349746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144</v>
      </c>
      <c r="Q28" s="43">
        <f t="shared" si="10"/>
        <v>384</v>
      </c>
      <c r="R28" s="23">
        <f t="shared" si="10"/>
        <v>0</v>
      </c>
      <c r="S28" s="24">
        <f t="shared" si="10"/>
        <v>139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245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0.55000000000000004</v>
      </c>
      <c r="AC28" s="4">
        <f>AVERAGE(AC6:AC27)</f>
        <v>0.27272727272727271</v>
      </c>
      <c r="AD28" s="4">
        <f>AVERAGE(AD6:AD27)</f>
        <v>0.27272727272727271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352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357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226" t="s">
        <v>46</v>
      </c>
      <c r="D57" s="226" t="s">
        <v>47</v>
      </c>
      <c r="E57" s="226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226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228" t="s">
        <v>223</v>
      </c>
      <c r="D58" s="228" t="s">
        <v>155</v>
      </c>
      <c r="E58" s="228" t="s">
        <v>325</v>
      </c>
      <c r="F58" s="437" t="s">
        <v>353</v>
      </c>
      <c r="G58" s="438"/>
      <c r="H58" s="438"/>
      <c r="I58" s="438"/>
      <c r="J58" s="438"/>
      <c r="K58" s="438"/>
      <c r="L58" s="438"/>
      <c r="M58" s="439"/>
      <c r="N58" s="227" t="s">
        <v>112</v>
      </c>
      <c r="O58" s="234" t="s">
        <v>223</v>
      </c>
      <c r="P58" s="440" t="s">
        <v>155</v>
      </c>
      <c r="Q58" s="441"/>
      <c r="R58" s="440" t="s">
        <v>325</v>
      </c>
      <c r="S58" s="442"/>
      <c r="T58" s="442"/>
      <c r="U58" s="441"/>
      <c r="V58" s="437" t="s">
        <v>226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116</v>
      </c>
      <c r="B59" s="436"/>
      <c r="C59" s="228" t="s">
        <v>148</v>
      </c>
      <c r="D59" s="228" t="s">
        <v>133</v>
      </c>
      <c r="E59" s="228" t="s">
        <v>348</v>
      </c>
      <c r="F59" s="437" t="s">
        <v>354</v>
      </c>
      <c r="G59" s="438"/>
      <c r="H59" s="438"/>
      <c r="I59" s="438"/>
      <c r="J59" s="438"/>
      <c r="K59" s="438"/>
      <c r="L59" s="438"/>
      <c r="M59" s="439"/>
      <c r="N59" s="227" t="s">
        <v>116</v>
      </c>
      <c r="O59" s="234" t="s">
        <v>148</v>
      </c>
      <c r="P59" s="440" t="s">
        <v>133</v>
      </c>
      <c r="Q59" s="441"/>
      <c r="R59" s="440" t="s">
        <v>348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116</v>
      </c>
      <c r="B60" s="436"/>
      <c r="C60" s="228" t="s">
        <v>191</v>
      </c>
      <c r="D60" s="228" t="s">
        <v>121</v>
      </c>
      <c r="E60" s="228" t="s">
        <v>349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227" t="s">
        <v>113</v>
      </c>
      <c r="O60" s="234" t="s">
        <v>327</v>
      </c>
      <c r="P60" s="440"/>
      <c r="Q60" s="441"/>
      <c r="R60" s="440" t="s">
        <v>328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228" t="s">
        <v>196</v>
      </c>
      <c r="D61" s="228" t="s">
        <v>115</v>
      </c>
      <c r="E61" s="228" t="s">
        <v>164</v>
      </c>
      <c r="F61" s="437" t="s">
        <v>226</v>
      </c>
      <c r="G61" s="438"/>
      <c r="H61" s="438"/>
      <c r="I61" s="438"/>
      <c r="J61" s="438"/>
      <c r="K61" s="438"/>
      <c r="L61" s="438"/>
      <c r="M61" s="439"/>
      <c r="N61" s="227" t="s">
        <v>116</v>
      </c>
      <c r="O61" s="234" t="s">
        <v>154</v>
      </c>
      <c r="P61" s="440" t="s">
        <v>115</v>
      </c>
      <c r="Q61" s="441"/>
      <c r="R61" s="440" t="s">
        <v>358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112</v>
      </c>
      <c r="B62" s="436"/>
      <c r="C62" s="228" t="s">
        <v>245</v>
      </c>
      <c r="D62" s="228" t="s">
        <v>259</v>
      </c>
      <c r="E62" s="228" t="s">
        <v>323</v>
      </c>
      <c r="F62" s="437" t="s">
        <v>278</v>
      </c>
      <c r="G62" s="438"/>
      <c r="H62" s="438"/>
      <c r="I62" s="438"/>
      <c r="J62" s="438"/>
      <c r="K62" s="438"/>
      <c r="L62" s="438"/>
      <c r="M62" s="439"/>
      <c r="N62" s="227" t="s">
        <v>112</v>
      </c>
      <c r="O62" s="234" t="s">
        <v>326</v>
      </c>
      <c r="P62" s="440" t="s">
        <v>129</v>
      </c>
      <c r="Q62" s="441"/>
      <c r="R62" s="440" t="s">
        <v>324</v>
      </c>
      <c r="S62" s="442"/>
      <c r="T62" s="442"/>
      <c r="U62" s="441"/>
      <c r="V62" s="437" t="s">
        <v>226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228" t="s">
        <v>326</v>
      </c>
      <c r="D63" s="228" t="s">
        <v>129</v>
      </c>
      <c r="E63" s="228" t="s">
        <v>324</v>
      </c>
      <c r="F63" s="437" t="s">
        <v>355</v>
      </c>
      <c r="G63" s="438"/>
      <c r="H63" s="438"/>
      <c r="I63" s="438"/>
      <c r="J63" s="438"/>
      <c r="K63" s="438"/>
      <c r="L63" s="438"/>
      <c r="M63" s="439"/>
      <c r="N63" s="227"/>
      <c r="O63" s="234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145</v>
      </c>
      <c r="B64" s="436"/>
      <c r="C64" s="228" t="s">
        <v>192</v>
      </c>
      <c r="D64" s="228"/>
      <c r="E64" s="228" t="s">
        <v>341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227"/>
      <c r="O64" s="234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 t="s">
        <v>116</v>
      </c>
      <c r="B65" s="454"/>
      <c r="C65" s="231" t="s">
        <v>234</v>
      </c>
      <c r="D65" s="231" t="s">
        <v>155</v>
      </c>
      <c r="E65" s="228" t="s">
        <v>351</v>
      </c>
      <c r="F65" s="437" t="s">
        <v>356</v>
      </c>
      <c r="G65" s="438"/>
      <c r="H65" s="438"/>
      <c r="I65" s="438"/>
      <c r="J65" s="438"/>
      <c r="K65" s="438"/>
      <c r="L65" s="438"/>
      <c r="M65" s="439"/>
      <c r="N65" s="227"/>
      <c r="O65" s="234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231"/>
      <c r="D66" s="231"/>
      <c r="E66" s="228"/>
      <c r="F66" s="437"/>
      <c r="G66" s="438"/>
      <c r="H66" s="438"/>
      <c r="I66" s="438"/>
      <c r="J66" s="438"/>
      <c r="K66" s="438"/>
      <c r="L66" s="438"/>
      <c r="M66" s="439"/>
      <c r="N66" s="227"/>
      <c r="O66" s="234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229"/>
      <c r="D67" s="230"/>
      <c r="E67" s="229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359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232" t="s">
        <v>2</v>
      </c>
      <c r="D69" s="232" t="s">
        <v>37</v>
      </c>
      <c r="E69" s="232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232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116</v>
      </c>
      <c r="D70" s="236"/>
      <c r="E70" s="233" t="s">
        <v>115</v>
      </c>
      <c r="F70" s="464" t="s">
        <v>270</v>
      </c>
      <c r="G70" s="465"/>
      <c r="H70" s="465"/>
      <c r="I70" s="465"/>
      <c r="J70" s="465"/>
      <c r="K70" s="465" t="s">
        <v>271</v>
      </c>
      <c r="L70" s="465"/>
      <c r="M70" s="51" t="s">
        <v>214</v>
      </c>
      <c r="N70" s="466" t="s">
        <v>225</v>
      </c>
      <c r="O70" s="466"/>
      <c r="P70" s="467">
        <v>100</v>
      </c>
      <c r="Q70" s="467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116</v>
      </c>
      <c r="D71" s="236"/>
      <c r="E71" s="233" t="s">
        <v>121</v>
      </c>
      <c r="F71" s="464" t="s">
        <v>287</v>
      </c>
      <c r="G71" s="465"/>
      <c r="H71" s="465"/>
      <c r="I71" s="465"/>
      <c r="J71" s="465"/>
      <c r="K71" s="465" t="s">
        <v>132</v>
      </c>
      <c r="L71" s="465"/>
      <c r="M71" s="51" t="s">
        <v>214</v>
      </c>
      <c r="N71" s="466" t="s">
        <v>199</v>
      </c>
      <c r="O71" s="466"/>
      <c r="P71" s="467">
        <v>100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/>
      <c r="D72" s="236"/>
      <c r="E72" s="233"/>
      <c r="F72" s="469"/>
      <c r="G72" s="470"/>
      <c r="H72" s="470"/>
      <c r="I72" s="470"/>
      <c r="J72" s="471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236"/>
      <c r="E73" s="233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236"/>
      <c r="E74" s="233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236"/>
      <c r="E75" s="233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236"/>
      <c r="E76" s="233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236"/>
      <c r="E77" s="233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236"/>
      <c r="E78" s="233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236"/>
      <c r="E79" s="233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360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235" t="s">
        <v>2</v>
      </c>
      <c r="D81" s="235" t="s">
        <v>37</v>
      </c>
      <c r="E81" s="235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237"/>
      <c r="D82" s="237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236"/>
      <c r="D83" s="236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236"/>
      <c r="D84" s="236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236"/>
      <c r="D85" s="236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236"/>
      <c r="D86" s="236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236"/>
      <c r="D87" s="236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236"/>
      <c r="D88" s="236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346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0305-E7B8-4855-9FB2-385317C47A9D}">
  <sheetPr codeName="Sheet11">
    <pageSetUpPr fitToPage="1"/>
  </sheetPr>
  <dimension ref="A1:AF93"/>
  <sheetViews>
    <sheetView view="pageBreakPreview" zoomScale="70" zoomScaleNormal="72" zoomScaleSheetLayoutView="70" workbookViewId="0">
      <selection activeCell="K84" sqref="K84:S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361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250" t="s">
        <v>17</v>
      </c>
      <c r="L5" s="250" t="s">
        <v>18</v>
      </c>
      <c r="M5" s="250" t="s">
        <v>19</v>
      </c>
      <c r="N5" s="25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100000</v>
      </c>
      <c r="J6" s="14">
        <v>11490</v>
      </c>
      <c r="K6" s="15">
        <f>L6+6596</f>
        <v>18086</v>
      </c>
      <c r="L6" s="15">
        <f>2337*3+1493*3</f>
        <v>11490</v>
      </c>
      <c r="M6" s="15">
        <f t="shared" ref="M6:M27" si="0">L6-N6</f>
        <v>11490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19</v>
      </c>
      <c r="Q6" s="40">
        <f t="shared" ref="Q6:Q27" si="3">SUM(R6:AA6)</f>
        <v>5</v>
      </c>
      <c r="R6" s="7"/>
      <c r="S6" s="6">
        <v>5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0.79166666666666663</v>
      </c>
      <c r="AD6" s="10">
        <f t="shared" ref="AD6:AD27" si="6">AC6*AB6*(1-O6)</f>
        <v>0.79166666666666663</v>
      </c>
      <c r="AE6" s="36">
        <f t="shared" ref="AE6:AE27" si="7">$AD$28</f>
        <v>0.44886363636363635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133</v>
      </c>
      <c r="E7" s="53" t="s">
        <v>348</v>
      </c>
      <c r="F7" s="30" t="s">
        <v>125</v>
      </c>
      <c r="G7" s="12">
        <v>3</v>
      </c>
      <c r="H7" s="13">
        <v>24</v>
      </c>
      <c r="I7" s="31">
        <v>38000</v>
      </c>
      <c r="J7" s="14">
        <v>22560</v>
      </c>
      <c r="K7" s="15">
        <f>L7+8514</f>
        <v>31074</v>
      </c>
      <c r="L7" s="15">
        <f>3173*4+2467*4</f>
        <v>22560</v>
      </c>
      <c r="M7" s="15">
        <f t="shared" si="0"/>
        <v>22560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>
        <v>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 t="shared" si="7"/>
        <v>0.44886363636363635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116</v>
      </c>
      <c r="D8" s="52" t="s">
        <v>121</v>
      </c>
      <c r="E8" s="53" t="s">
        <v>349</v>
      </c>
      <c r="F8" s="30" t="s">
        <v>350</v>
      </c>
      <c r="G8" s="12">
        <v>4</v>
      </c>
      <c r="H8" s="13">
        <v>24</v>
      </c>
      <c r="I8" s="7">
        <v>38000</v>
      </c>
      <c r="J8" s="14">
        <v>19804</v>
      </c>
      <c r="K8" s="15">
        <f>L8+12772</f>
        <v>32576</v>
      </c>
      <c r="L8" s="15">
        <f>2305*4+2646*4</f>
        <v>19804</v>
      </c>
      <c r="M8" s="15">
        <f t="shared" si="0"/>
        <v>19804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0.44886363636363635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129</v>
      </c>
      <c r="E9" s="53" t="s">
        <v>228</v>
      </c>
      <c r="F9" s="30" t="s">
        <v>124</v>
      </c>
      <c r="G9" s="12">
        <v>1</v>
      </c>
      <c r="H9" s="13">
        <v>24</v>
      </c>
      <c r="I9" s="7">
        <v>35000</v>
      </c>
      <c r="J9" s="14">
        <v>5557</v>
      </c>
      <c r="K9" s="15">
        <f>L9+5140+2859+4218+5443+3499+4196+5464</f>
        <v>36376</v>
      </c>
      <c r="L9" s="15">
        <f>2754+2803</f>
        <v>5557</v>
      </c>
      <c r="M9" s="15">
        <f t="shared" si="0"/>
        <v>5557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0.44886363636363635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121</v>
      </c>
      <c r="E10" s="53" t="s">
        <v>287</v>
      </c>
      <c r="F10" s="30" t="s">
        <v>132</v>
      </c>
      <c r="G10" s="33">
        <v>2</v>
      </c>
      <c r="H10" s="35">
        <v>24</v>
      </c>
      <c r="I10" s="7">
        <v>300</v>
      </c>
      <c r="J10" s="14">
        <v>300</v>
      </c>
      <c r="K10" s="15">
        <f>L10+300</f>
        <v>300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0.44886363636363635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221</v>
      </c>
      <c r="E11" s="53" t="s">
        <v>362</v>
      </c>
      <c r="F11" s="30" t="s">
        <v>220</v>
      </c>
      <c r="G11" s="33">
        <v>2</v>
      </c>
      <c r="H11" s="35">
        <v>24</v>
      </c>
      <c r="I11" s="7">
        <v>12000</v>
      </c>
      <c r="J11" s="14">
        <v>8826</v>
      </c>
      <c r="K11" s="15">
        <f>L11</f>
        <v>8826</v>
      </c>
      <c r="L11" s="15">
        <f>1700*2+2713*2</f>
        <v>8826</v>
      </c>
      <c r="M11" s="15">
        <f t="shared" si="0"/>
        <v>8826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6">
        <f t="shared" si="7"/>
        <v>0.44886363636363635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358</v>
      </c>
      <c r="F12" s="30" t="s">
        <v>363</v>
      </c>
      <c r="G12" s="12">
        <v>4</v>
      </c>
      <c r="H12" s="13">
        <v>22</v>
      </c>
      <c r="I12" s="31">
        <v>38000</v>
      </c>
      <c r="J12" s="5">
        <v>18692</v>
      </c>
      <c r="K12" s="15">
        <f>L12</f>
        <v>18692</v>
      </c>
      <c r="L12" s="15">
        <f>2197*4+2476*4</f>
        <v>18692</v>
      </c>
      <c r="M12" s="15">
        <f t="shared" si="0"/>
        <v>18692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6"/>
        <v>0.95833333333333337</v>
      </c>
      <c r="AE12" s="36">
        <f t="shared" si="7"/>
        <v>0.44886363636363635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323</v>
      </c>
      <c r="F13" s="30" t="s">
        <v>123</v>
      </c>
      <c r="G13" s="33">
        <v>4</v>
      </c>
      <c r="H13" s="35">
        <v>22</v>
      </c>
      <c r="I13" s="7">
        <v>260000</v>
      </c>
      <c r="J13" s="14">
        <v>15924</v>
      </c>
      <c r="K13" s="15">
        <f>L13+23364+21016</f>
        <v>60304</v>
      </c>
      <c r="L13" s="15">
        <f>597*4+3384*4</f>
        <v>15924</v>
      </c>
      <c r="M13" s="15">
        <f t="shared" si="0"/>
        <v>15924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0.44886363636363635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214</v>
      </c>
      <c r="K14" s="15">
        <f>L14+214</f>
        <v>214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0.44886363636363635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0.44886363636363635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145</v>
      </c>
      <c r="D16" s="52"/>
      <c r="E16" s="53" t="s">
        <v>341</v>
      </c>
      <c r="F16" s="30" t="s">
        <v>146</v>
      </c>
      <c r="G16" s="12">
        <v>29</v>
      </c>
      <c r="H16" s="13">
        <v>24</v>
      </c>
      <c r="I16" s="7">
        <v>600000</v>
      </c>
      <c r="J16" s="14">
        <v>321030</v>
      </c>
      <c r="K16" s="15">
        <f>L16+290377</f>
        <v>611407</v>
      </c>
      <c r="L16" s="15">
        <f>5528*29+5542*29</f>
        <v>321030</v>
      </c>
      <c r="M16" s="15">
        <f t="shared" si="0"/>
        <v>321030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0.44886363636363635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157</v>
      </c>
      <c r="E17" s="53" t="s">
        <v>303</v>
      </c>
      <c r="F17" s="30" t="s">
        <v>289</v>
      </c>
      <c r="G17" s="12">
        <v>2</v>
      </c>
      <c r="H17" s="13">
        <v>24</v>
      </c>
      <c r="I17" s="7">
        <v>12000</v>
      </c>
      <c r="J17" s="14">
        <v>9208</v>
      </c>
      <c r="K17" s="15">
        <f>L17</f>
        <v>9208</v>
      </c>
      <c r="L17" s="15">
        <f>1180*2+3424*2</f>
        <v>9208</v>
      </c>
      <c r="M17" s="15">
        <f t="shared" si="0"/>
        <v>9208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>
        <v>5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6"/>
        <v>0.79166666666666663</v>
      </c>
      <c r="AE17" s="36">
        <f t="shared" si="7"/>
        <v>0.44886363636363635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112</v>
      </c>
      <c r="D18" s="52" t="s">
        <v>115</v>
      </c>
      <c r="E18" s="53" t="s">
        <v>164</v>
      </c>
      <c r="F18" s="30" t="s">
        <v>123</v>
      </c>
      <c r="G18" s="12">
        <v>1</v>
      </c>
      <c r="H18" s="13">
        <v>22</v>
      </c>
      <c r="I18" s="31">
        <v>32000</v>
      </c>
      <c r="J18" s="5">
        <v>5211</v>
      </c>
      <c r="K18" s="15">
        <f>L18+2140+2088+3960+1869+3592+3607+2978+4572+4250+928+1211+537+4272</f>
        <v>41215</v>
      </c>
      <c r="L18" s="15">
        <f>2535+2676</f>
        <v>5211</v>
      </c>
      <c r="M18" s="15">
        <f t="shared" si="0"/>
        <v>5211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>
        <v>1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0.44886363636363635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116</v>
      </c>
      <c r="D19" s="52" t="s">
        <v>155</v>
      </c>
      <c r="E19" s="53" t="s">
        <v>351</v>
      </c>
      <c r="F19" s="30" t="s">
        <v>144</v>
      </c>
      <c r="G19" s="33">
        <v>1</v>
      </c>
      <c r="H19" s="35">
        <v>24</v>
      </c>
      <c r="I19" s="7">
        <v>500</v>
      </c>
      <c r="J19" s="14">
        <v>800</v>
      </c>
      <c r="K19" s="15">
        <f>L19+800</f>
        <v>800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0.44886363636363635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150000</v>
      </c>
      <c r="J20" s="14">
        <v>8466</v>
      </c>
      <c r="K20" s="15">
        <f>L20+16424+3460</f>
        <v>28350</v>
      </c>
      <c r="L20" s="15">
        <f>2010*4+142*3</f>
        <v>8466</v>
      </c>
      <c r="M20" s="15">
        <f t="shared" si="0"/>
        <v>8466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0.44886363636363635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30164</v>
      </c>
      <c r="K21" s="15">
        <f>L21</f>
        <v>30164</v>
      </c>
      <c r="L21" s="15">
        <f>6597*4+944*4</f>
        <v>30164</v>
      </c>
      <c r="M21" s="15">
        <f t="shared" si="0"/>
        <v>30164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>
        <v>10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0.44886363636363635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0.44886363636363635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0.44886363636363635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0.44886363636363635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0.44886363636363635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0.44886363636363635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0.44886363636363635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4287900</v>
      </c>
      <c r="J28" s="19">
        <f t="shared" si="9"/>
        <v>871154</v>
      </c>
      <c r="K28" s="20">
        <f t="shared" si="9"/>
        <v>5827432</v>
      </c>
      <c r="L28" s="21">
        <f t="shared" si="9"/>
        <v>476932</v>
      </c>
      <c r="M28" s="20">
        <f t="shared" si="9"/>
        <v>476932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237</v>
      </c>
      <c r="Q28" s="43">
        <f t="shared" si="10"/>
        <v>291</v>
      </c>
      <c r="R28" s="23">
        <f t="shared" si="10"/>
        <v>0</v>
      </c>
      <c r="S28" s="24">
        <f t="shared" si="10"/>
        <v>74</v>
      </c>
      <c r="T28" s="24">
        <f t="shared" si="10"/>
        <v>1</v>
      </c>
      <c r="U28" s="24">
        <f t="shared" si="10"/>
        <v>0</v>
      </c>
      <c r="V28" s="25">
        <f t="shared" si="10"/>
        <v>0</v>
      </c>
      <c r="W28" s="26">
        <f t="shared" si="10"/>
        <v>216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0.6</v>
      </c>
      <c r="AC28" s="4">
        <f>AVERAGE(AC6:AC27)</f>
        <v>0.44886363636363635</v>
      </c>
      <c r="AD28" s="4">
        <f>AVERAGE(AD6:AD27)</f>
        <v>0.44886363636363635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364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369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249" t="s">
        <v>46</v>
      </c>
      <c r="D57" s="249" t="s">
        <v>47</v>
      </c>
      <c r="E57" s="249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249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245" t="s">
        <v>223</v>
      </c>
      <c r="D58" s="245" t="s">
        <v>155</v>
      </c>
      <c r="E58" s="245" t="s">
        <v>325</v>
      </c>
      <c r="F58" s="437" t="s">
        <v>365</v>
      </c>
      <c r="G58" s="438"/>
      <c r="H58" s="438"/>
      <c r="I58" s="438"/>
      <c r="J58" s="438"/>
      <c r="K58" s="438"/>
      <c r="L58" s="438"/>
      <c r="M58" s="439"/>
      <c r="N58" s="248" t="s">
        <v>112</v>
      </c>
      <c r="O58" s="242" t="s">
        <v>223</v>
      </c>
      <c r="P58" s="440" t="s">
        <v>155</v>
      </c>
      <c r="Q58" s="441"/>
      <c r="R58" s="440" t="s">
        <v>325</v>
      </c>
      <c r="S58" s="442"/>
      <c r="T58" s="442"/>
      <c r="U58" s="441"/>
      <c r="V58" s="437" t="s">
        <v>226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116</v>
      </c>
      <c r="B59" s="436"/>
      <c r="C59" s="245" t="s">
        <v>148</v>
      </c>
      <c r="D59" s="245" t="s">
        <v>133</v>
      </c>
      <c r="E59" s="245" t="s">
        <v>348</v>
      </c>
      <c r="F59" s="437" t="s">
        <v>226</v>
      </c>
      <c r="G59" s="438"/>
      <c r="H59" s="438"/>
      <c r="I59" s="438"/>
      <c r="J59" s="438"/>
      <c r="K59" s="438"/>
      <c r="L59" s="438"/>
      <c r="M59" s="439"/>
      <c r="N59" s="248" t="s">
        <v>112</v>
      </c>
      <c r="O59" s="242" t="s">
        <v>326</v>
      </c>
      <c r="P59" s="440" t="s">
        <v>129</v>
      </c>
      <c r="Q59" s="441"/>
      <c r="R59" s="440" t="s">
        <v>324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116</v>
      </c>
      <c r="B60" s="436"/>
      <c r="C60" s="245" t="s">
        <v>191</v>
      </c>
      <c r="D60" s="245" t="s">
        <v>121</v>
      </c>
      <c r="E60" s="245" t="s">
        <v>349</v>
      </c>
      <c r="F60" s="437" t="s">
        <v>243</v>
      </c>
      <c r="G60" s="438"/>
      <c r="H60" s="438"/>
      <c r="I60" s="438"/>
      <c r="J60" s="438"/>
      <c r="K60" s="438"/>
      <c r="L60" s="438"/>
      <c r="M60" s="439"/>
      <c r="N60" s="248"/>
      <c r="O60" s="242"/>
      <c r="P60" s="440"/>
      <c r="Q60" s="441"/>
      <c r="R60" s="440"/>
      <c r="S60" s="442"/>
      <c r="T60" s="442"/>
      <c r="U60" s="441"/>
      <c r="V60" s="437"/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245" t="s">
        <v>196</v>
      </c>
      <c r="D61" s="245" t="s">
        <v>115</v>
      </c>
      <c r="E61" s="245" t="s">
        <v>164</v>
      </c>
      <c r="F61" s="437" t="s">
        <v>366</v>
      </c>
      <c r="G61" s="438"/>
      <c r="H61" s="438"/>
      <c r="I61" s="438"/>
      <c r="J61" s="438"/>
      <c r="K61" s="438"/>
      <c r="L61" s="438"/>
      <c r="M61" s="439"/>
      <c r="N61" s="248"/>
      <c r="O61" s="242"/>
      <c r="P61" s="440"/>
      <c r="Q61" s="441"/>
      <c r="R61" s="440"/>
      <c r="S61" s="442"/>
      <c r="T61" s="442"/>
      <c r="U61" s="441"/>
      <c r="V61" s="437"/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112</v>
      </c>
      <c r="B62" s="436"/>
      <c r="C62" s="245" t="s">
        <v>245</v>
      </c>
      <c r="D62" s="245" t="s">
        <v>259</v>
      </c>
      <c r="E62" s="245" t="s">
        <v>323</v>
      </c>
      <c r="F62" s="437" t="s">
        <v>226</v>
      </c>
      <c r="G62" s="438"/>
      <c r="H62" s="438"/>
      <c r="I62" s="438"/>
      <c r="J62" s="438"/>
      <c r="K62" s="438"/>
      <c r="L62" s="438"/>
      <c r="M62" s="439"/>
      <c r="N62" s="248"/>
      <c r="O62" s="242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245" t="s">
        <v>326</v>
      </c>
      <c r="D63" s="245" t="s">
        <v>129</v>
      </c>
      <c r="E63" s="245" t="s">
        <v>324</v>
      </c>
      <c r="F63" s="437" t="s">
        <v>367</v>
      </c>
      <c r="G63" s="438"/>
      <c r="H63" s="438"/>
      <c r="I63" s="438"/>
      <c r="J63" s="438"/>
      <c r="K63" s="438"/>
      <c r="L63" s="438"/>
      <c r="M63" s="439"/>
      <c r="N63" s="248"/>
      <c r="O63" s="242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116</v>
      </c>
      <c r="B64" s="436"/>
      <c r="C64" s="245" t="s">
        <v>154</v>
      </c>
      <c r="D64" s="245" t="s">
        <v>115</v>
      </c>
      <c r="E64" s="245" t="s">
        <v>358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248"/>
      <c r="O64" s="242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 t="s">
        <v>112</v>
      </c>
      <c r="B65" s="454"/>
      <c r="C65" s="244" t="s">
        <v>225</v>
      </c>
      <c r="D65" s="244" t="s">
        <v>221</v>
      </c>
      <c r="E65" s="245" t="s">
        <v>362</v>
      </c>
      <c r="F65" s="437" t="s">
        <v>368</v>
      </c>
      <c r="G65" s="438"/>
      <c r="H65" s="438"/>
      <c r="I65" s="438"/>
      <c r="J65" s="438"/>
      <c r="K65" s="438"/>
      <c r="L65" s="438"/>
      <c r="M65" s="439"/>
      <c r="N65" s="248"/>
      <c r="O65" s="242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 t="s">
        <v>130</v>
      </c>
      <c r="B66" s="454"/>
      <c r="C66" s="244" t="s">
        <v>184</v>
      </c>
      <c r="D66" s="244" t="s">
        <v>157</v>
      </c>
      <c r="E66" s="245" t="s">
        <v>303</v>
      </c>
      <c r="F66" s="437" t="s">
        <v>226</v>
      </c>
      <c r="G66" s="438"/>
      <c r="H66" s="438"/>
      <c r="I66" s="438"/>
      <c r="J66" s="438"/>
      <c r="K66" s="438"/>
      <c r="L66" s="438"/>
      <c r="M66" s="439"/>
      <c r="N66" s="248"/>
      <c r="O66" s="242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246"/>
      <c r="D67" s="247"/>
      <c r="E67" s="246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370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243" t="s">
        <v>2</v>
      </c>
      <c r="D69" s="243" t="s">
        <v>37</v>
      </c>
      <c r="E69" s="243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243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112</v>
      </c>
      <c r="D70" s="238"/>
      <c r="E70" s="241" t="s">
        <v>221</v>
      </c>
      <c r="F70" s="464" t="s">
        <v>362</v>
      </c>
      <c r="G70" s="465"/>
      <c r="H70" s="465"/>
      <c r="I70" s="465"/>
      <c r="J70" s="465"/>
      <c r="K70" s="465" t="s">
        <v>220</v>
      </c>
      <c r="L70" s="465"/>
      <c r="M70" s="51" t="s">
        <v>214</v>
      </c>
      <c r="N70" s="466" t="s">
        <v>225</v>
      </c>
      <c r="O70" s="466"/>
      <c r="P70" s="467">
        <v>100</v>
      </c>
      <c r="Q70" s="467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256</v>
      </c>
      <c r="D71" s="238"/>
      <c r="E71" s="241"/>
      <c r="F71" s="464" t="s">
        <v>371</v>
      </c>
      <c r="G71" s="465"/>
      <c r="H71" s="465"/>
      <c r="I71" s="465"/>
      <c r="J71" s="465"/>
      <c r="K71" s="465" t="s">
        <v>153</v>
      </c>
      <c r="L71" s="465"/>
      <c r="M71" s="51" t="s">
        <v>214</v>
      </c>
      <c r="N71" s="466" t="s">
        <v>184</v>
      </c>
      <c r="O71" s="466"/>
      <c r="P71" s="467">
        <v>100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/>
      <c r="D72" s="238"/>
      <c r="E72" s="241"/>
      <c r="F72" s="469"/>
      <c r="G72" s="470"/>
      <c r="H72" s="470"/>
      <c r="I72" s="470"/>
      <c r="J72" s="471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238"/>
      <c r="E73" s="241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238"/>
      <c r="E74" s="241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238"/>
      <c r="E75" s="241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238"/>
      <c r="E76" s="241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238"/>
      <c r="E77" s="241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238"/>
      <c r="E78" s="241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238"/>
      <c r="E79" s="241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372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240" t="s">
        <v>2</v>
      </c>
      <c r="D81" s="240" t="s">
        <v>37</v>
      </c>
      <c r="E81" s="240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239"/>
      <c r="D82" s="239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238"/>
      <c r="D83" s="238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238"/>
      <c r="D84" s="238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238"/>
      <c r="D85" s="238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238"/>
      <c r="D86" s="238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238"/>
      <c r="D87" s="238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238"/>
      <c r="D88" s="238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373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FC92-10A7-4B33-8261-99C03B273D8C}">
  <sheetPr codeName="Sheet12">
    <pageSetUpPr fitToPage="1"/>
  </sheetPr>
  <dimension ref="A1:AF94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374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251" t="s">
        <v>17</v>
      </c>
      <c r="L5" s="251" t="s">
        <v>18</v>
      </c>
      <c r="M5" s="251" t="s">
        <v>19</v>
      </c>
      <c r="N5" s="25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5924</v>
      </c>
      <c r="K6" s="15">
        <f>L6+6596+11490</f>
        <v>24010</v>
      </c>
      <c r="L6" s="15">
        <f>1481*4</f>
        <v>5924</v>
      </c>
      <c r="M6" s="15">
        <f t="shared" ref="M6:M28" si="0">L6-N6</f>
        <v>5924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6</v>
      </c>
      <c r="Q6" s="40">
        <f t="shared" ref="Q6:Q28" si="3">SUM(R6:AA6)</f>
        <v>18</v>
      </c>
      <c r="R6" s="7"/>
      <c r="S6" s="6">
        <v>18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0.25</v>
      </c>
      <c r="AD6" s="10">
        <f t="shared" ref="AD6:AD28" si="6">AC6*AB6*(1-O6)</f>
        <v>0.25</v>
      </c>
      <c r="AE6" s="36">
        <f t="shared" ref="AE6:AE28" si="7">$AD$29</f>
        <v>0.375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133</v>
      </c>
      <c r="E7" s="53" t="s">
        <v>348</v>
      </c>
      <c r="F7" s="30" t="s">
        <v>125</v>
      </c>
      <c r="G7" s="12">
        <v>3</v>
      </c>
      <c r="H7" s="13">
        <v>24</v>
      </c>
      <c r="I7" s="31">
        <v>38000</v>
      </c>
      <c r="J7" s="14">
        <v>3188</v>
      </c>
      <c r="K7" s="15">
        <f>L7+8514+22560</f>
        <v>34262</v>
      </c>
      <c r="L7" s="15">
        <f>797*4</f>
        <v>3188</v>
      </c>
      <c r="M7" s="15">
        <f t="shared" si="0"/>
        <v>3188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/>
      <c r="T7" s="16"/>
      <c r="U7" s="16"/>
      <c r="V7" s="17"/>
      <c r="W7" s="5"/>
      <c r="X7" s="16"/>
      <c r="Y7" s="16"/>
      <c r="Z7" s="16"/>
      <c r="AA7" s="18">
        <v>20</v>
      </c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0.375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218</v>
      </c>
      <c r="D8" s="52" t="s">
        <v>288</v>
      </c>
      <c r="E8" s="53" t="s">
        <v>375</v>
      </c>
      <c r="F8" s="30" t="s">
        <v>153</v>
      </c>
      <c r="G8" s="12">
        <v>1</v>
      </c>
      <c r="H8" s="13">
        <v>24</v>
      </c>
      <c r="I8" s="31">
        <v>3000</v>
      </c>
      <c r="J8" s="14">
        <v>1689</v>
      </c>
      <c r="K8" s="15">
        <f>L8</f>
        <v>1689</v>
      </c>
      <c r="L8" s="15">
        <f>1689</f>
        <v>1689</v>
      </c>
      <c r="M8" s="15">
        <f t="shared" ref="M8" si="9">L8-N8</f>
        <v>1689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8</v>
      </c>
      <c r="Q8" s="40">
        <f t="shared" ref="Q8" si="12">SUM(R8:AA8)</f>
        <v>16</v>
      </c>
      <c r="R8" s="7"/>
      <c r="S8" s="6">
        <v>8</v>
      </c>
      <c r="T8" s="16"/>
      <c r="U8" s="16"/>
      <c r="V8" s="17"/>
      <c r="W8" s="5"/>
      <c r="X8" s="16"/>
      <c r="Y8" s="16"/>
      <c r="Z8" s="16"/>
      <c r="AA8" s="18">
        <v>8</v>
      </c>
      <c r="AB8" s="8">
        <f t="shared" ref="AB8" si="13">IF(J8=0,"0",(L8/J8))</f>
        <v>1</v>
      </c>
      <c r="AC8" s="9">
        <f t="shared" ref="AC8" si="14">IF(P8=0,"0",(P8/24))</f>
        <v>0.33333333333333331</v>
      </c>
      <c r="AD8" s="10">
        <f t="shared" ref="AD8" si="15">AC8*AB8*(1-O8)</f>
        <v>0.33333333333333331</v>
      </c>
      <c r="AE8" s="36">
        <f t="shared" si="7"/>
        <v>0.375</v>
      </c>
      <c r="AF8" s="84">
        <f t="shared" ref="AF8" si="16">A8</f>
        <v>2</v>
      </c>
    </row>
    <row r="9" spans="1:32" ht="27" customHeight="1">
      <c r="A9" s="112">
        <v>3</v>
      </c>
      <c r="B9" s="11" t="s">
        <v>57</v>
      </c>
      <c r="C9" s="34" t="s">
        <v>116</v>
      </c>
      <c r="D9" s="52" t="s">
        <v>121</v>
      </c>
      <c r="E9" s="53" t="s">
        <v>349</v>
      </c>
      <c r="F9" s="30" t="s">
        <v>350</v>
      </c>
      <c r="G9" s="12">
        <v>4</v>
      </c>
      <c r="H9" s="13">
        <v>24</v>
      </c>
      <c r="I9" s="7">
        <v>38000</v>
      </c>
      <c r="J9" s="14">
        <v>21960</v>
      </c>
      <c r="K9" s="15">
        <f>L9+12772+19804</f>
        <v>54536</v>
      </c>
      <c r="L9" s="15">
        <f>2854*4+2636*4</f>
        <v>21960</v>
      </c>
      <c r="M9" s="15">
        <f t="shared" si="0"/>
        <v>21960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0.375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112</v>
      </c>
      <c r="D10" s="52" t="s">
        <v>129</v>
      </c>
      <c r="E10" s="53" t="s">
        <v>228</v>
      </c>
      <c r="F10" s="30" t="s">
        <v>124</v>
      </c>
      <c r="G10" s="12">
        <v>1</v>
      </c>
      <c r="H10" s="13">
        <v>24</v>
      </c>
      <c r="I10" s="7">
        <v>35000</v>
      </c>
      <c r="J10" s="14">
        <v>5479</v>
      </c>
      <c r="K10" s="15">
        <f>L10+5140+2859+4218+5443+3499+4196+5464+5557</f>
        <v>41855</v>
      </c>
      <c r="L10" s="15">
        <f>2775+2704</f>
        <v>5479</v>
      </c>
      <c r="M10" s="15">
        <f t="shared" si="0"/>
        <v>5479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0.375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116</v>
      </c>
      <c r="D11" s="52" t="s">
        <v>121</v>
      </c>
      <c r="E11" s="53" t="s">
        <v>287</v>
      </c>
      <c r="F11" s="30" t="s">
        <v>132</v>
      </c>
      <c r="G11" s="33">
        <v>2</v>
      </c>
      <c r="H11" s="35">
        <v>24</v>
      </c>
      <c r="I11" s="7">
        <v>300</v>
      </c>
      <c r="J11" s="14">
        <v>300</v>
      </c>
      <c r="K11" s="15">
        <f>L11+300</f>
        <v>300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0.375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221</v>
      </c>
      <c r="E12" s="53" t="s">
        <v>362</v>
      </c>
      <c r="F12" s="30" t="s">
        <v>220</v>
      </c>
      <c r="G12" s="33">
        <v>2</v>
      </c>
      <c r="H12" s="35">
        <v>24</v>
      </c>
      <c r="I12" s="7">
        <v>12000</v>
      </c>
      <c r="J12" s="14">
        <v>5154</v>
      </c>
      <c r="K12" s="15">
        <f>L12+8826</f>
        <v>13980</v>
      </c>
      <c r="L12" s="15">
        <f>2577*2</f>
        <v>5154</v>
      </c>
      <c r="M12" s="15">
        <f t="shared" si="0"/>
        <v>5154</v>
      </c>
      <c r="N12" s="15">
        <v>0</v>
      </c>
      <c r="O12" s="58">
        <f t="shared" si="1"/>
        <v>0</v>
      </c>
      <c r="P12" s="39">
        <f t="shared" si="2"/>
        <v>11</v>
      </c>
      <c r="Q12" s="40">
        <f t="shared" si="3"/>
        <v>13</v>
      </c>
      <c r="R12" s="7"/>
      <c r="S12" s="6"/>
      <c r="T12" s="16"/>
      <c r="U12" s="16"/>
      <c r="V12" s="17"/>
      <c r="W12" s="5">
        <v>13</v>
      </c>
      <c r="X12" s="16"/>
      <c r="Y12" s="16"/>
      <c r="Z12" s="16"/>
      <c r="AA12" s="18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6">
        <f t="shared" si="7"/>
        <v>0.375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358</v>
      </c>
      <c r="F13" s="30" t="s">
        <v>363</v>
      </c>
      <c r="G13" s="12">
        <v>4</v>
      </c>
      <c r="H13" s="13">
        <v>22</v>
      </c>
      <c r="I13" s="31">
        <v>38000</v>
      </c>
      <c r="J13" s="5">
        <v>19448</v>
      </c>
      <c r="K13" s="15">
        <f>L13+18692</f>
        <v>38140</v>
      </c>
      <c r="L13" s="15">
        <f>2458*4+2404*4</f>
        <v>19448</v>
      </c>
      <c r="M13" s="15">
        <f t="shared" si="0"/>
        <v>19448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0.375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259</v>
      </c>
      <c r="E14" s="53" t="s">
        <v>323</v>
      </c>
      <c r="F14" s="30" t="s">
        <v>123</v>
      </c>
      <c r="G14" s="33">
        <v>4</v>
      </c>
      <c r="H14" s="35">
        <v>22</v>
      </c>
      <c r="I14" s="7">
        <v>250000</v>
      </c>
      <c r="J14" s="14">
        <v>26688</v>
      </c>
      <c r="K14" s="15">
        <f>L14+23364+21016+15924</f>
        <v>86992</v>
      </c>
      <c r="L14" s="15">
        <f>3376*4+3296*4</f>
        <v>26688</v>
      </c>
      <c r="M14" s="15">
        <f t="shared" si="0"/>
        <v>26688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0.375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231</v>
      </c>
      <c r="F15" s="30" t="s">
        <v>159</v>
      </c>
      <c r="G15" s="33">
        <v>1</v>
      </c>
      <c r="H15" s="35">
        <v>30</v>
      </c>
      <c r="I15" s="7">
        <v>100</v>
      </c>
      <c r="J15" s="5">
        <v>214</v>
      </c>
      <c r="K15" s="15">
        <f>L15+214</f>
        <v>214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0.375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0.375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145</v>
      </c>
      <c r="D17" s="52"/>
      <c r="E17" s="53" t="s">
        <v>341</v>
      </c>
      <c r="F17" s="30" t="s">
        <v>146</v>
      </c>
      <c r="G17" s="12">
        <v>29</v>
      </c>
      <c r="H17" s="13">
        <v>24</v>
      </c>
      <c r="I17" s="7">
        <v>600000</v>
      </c>
      <c r="J17" s="14">
        <v>302316</v>
      </c>
      <c r="K17" s="15">
        <f>L17+290377+321030</f>
        <v>913723</v>
      </c>
      <c r="L17" s="15">
        <f>5466*28+5331*28</f>
        <v>302316</v>
      </c>
      <c r="M17" s="15">
        <f t="shared" si="0"/>
        <v>302316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0.375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157</v>
      </c>
      <c r="E18" s="53" t="s">
        <v>303</v>
      </c>
      <c r="F18" s="30" t="s">
        <v>289</v>
      </c>
      <c r="G18" s="12">
        <v>2</v>
      </c>
      <c r="H18" s="13">
        <v>24</v>
      </c>
      <c r="I18" s="7">
        <v>12000</v>
      </c>
      <c r="J18" s="14">
        <v>12660</v>
      </c>
      <c r="K18" s="15">
        <f>L18+9208</f>
        <v>21868</v>
      </c>
      <c r="L18" s="15">
        <f>3003*2+3327*2</f>
        <v>12660</v>
      </c>
      <c r="M18" s="15">
        <f t="shared" si="0"/>
        <v>12660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0.375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34" t="s">
        <v>112</v>
      </c>
      <c r="D19" s="52" t="s">
        <v>115</v>
      </c>
      <c r="E19" s="53" t="s">
        <v>164</v>
      </c>
      <c r="F19" s="30" t="s">
        <v>123</v>
      </c>
      <c r="G19" s="12">
        <v>1</v>
      </c>
      <c r="H19" s="13">
        <v>22</v>
      </c>
      <c r="I19" s="31">
        <v>32000</v>
      </c>
      <c r="J19" s="5">
        <v>2783</v>
      </c>
      <c r="K19" s="15">
        <f>L19+2140+2088+3960+1869+3592+3607+2978+4572+4250+928+1211+537+4272+5211</f>
        <v>43998</v>
      </c>
      <c r="L19" s="15">
        <f>2597+186</f>
        <v>2783</v>
      </c>
      <c r="M19" s="15">
        <f t="shared" si="0"/>
        <v>2783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/>
      <c r="T19" s="16"/>
      <c r="U19" s="16"/>
      <c r="V19" s="17"/>
      <c r="W19" s="5">
        <v>10</v>
      </c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7"/>
        <v>0.375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116</v>
      </c>
      <c r="D20" s="52" t="s">
        <v>155</v>
      </c>
      <c r="E20" s="53" t="s">
        <v>351</v>
      </c>
      <c r="F20" s="30" t="s">
        <v>144</v>
      </c>
      <c r="G20" s="33">
        <v>1</v>
      </c>
      <c r="H20" s="35">
        <v>24</v>
      </c>
      <c r="I20" s="7">
        <v>500</v>
      </c>
      <c r="J20" s="14">
        <v>800</v>
      </c>
      <c r="K20" s="15">
        <f>L20+800</f>
        <v>800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0.375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324</v>
      </c>
      <c r="F21" s="30" t="s">
        <v>124</v>
      </c>
      <c r="G21" s="33">
        <v>4</v>
      </c>
      <c r="H21" s="35">
        <v>24</v>
      </c>
      <c r="I21" s="7">
        <v>150000</v>
      </c>
      <c r="J21" s="14">
        <v>14048</v>
      </c>
      <c r="K21" s="15">
        <f>L21+16424+3460+8466</f>
        <v>42398</v>
      </c>
      <c r="L21" s="15">
        <f>2373*4+1139*4</f>
        <v>14048</v>
      </c>
      <c r="M21" s="15">
        <f t="shared" si="0"/>
        <v>14048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6"/>
        <v>0.83333333333333337</v>
      </c>
      <c r="AE21" s="36">
        <f t="shared" si="7"/>
        <v>0.375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328</v>
      </c>
      <c r="F22" s="12" t="s">
        <v>114</v>
      </c>
      <c r="G22" s="12">
        <v>4</v>
      </c>
      <c r="H22" s="35">
        <v>20</v>
      </c>
      <c r="I22" s="7">
        <v>300000</v>
      </c>
      <c r="J22" s="14">
        <v>30164</v>
      </c>
      <c r="K22" s="15">
        <f>L22+30164</f>
        <v>30164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>
        <v>24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0.375</v>
      </c>
      <c r="AF22" s="84">
        <f t="shared" si="8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0.375</v>
      </c>
      <c r="AF23" s="84">
        <f t="shared" si="8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0.375</v>
      </c>
      <c r="AF24" s="84">
        <f t="shared" si="8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0.375</v>
      </c>
      <c r="AF25" s="84">
        <f t="shared" si="8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0.375</v>
      </c>
      <c r="AF26" s="84">
        <f t="shared" si="8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0.375</v>
      </c>
      <c r="AF27" s="84">
        <f t="shared" si="8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0.375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7">SUM(I6:I28)</f>
        <v>4282900</v>
      </c>
      <c r="J29" s="19">
        <f t="shared" si="17"/>
        <v>845723</v>
      </c>
      <c r="K29" s="20">
        <f t="shared" si="17"/>
        <v>6248769</v>
      </c>
      <c r="L29" s="21">
        <f t="shared" si="17"/>
        <v>421337</v>
      </c>
      <c r="M29" s="20">
        <f t="shared" si="17"/>
        <v>421337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207</v>
      </c>
      <c r="Q29" s="43">
        <f t="shared" si="18"/>
        <v>345</v>
      </c>
      <c r="R29" s="23">
        <f t="shared" si="18"/>
        <v>0</v>
      </c>
      <c r="S29" s="24">
        <f t="shared" si="18"/>
        <v>78</v>
      </c>
      <c r="T29" s="24">
        <f t="shared" si="18"/>
        <v>0</v>
      </c>
      <c r="U29" s="24">
        <f t="shared" si="18"/>
        <v>0</v>
      </c>
      <c r="V29" s="25">
        <f t="shared" si="18"/>
        <v>0</v>
      </c>
      <c r="W29" s="26">
        <f t="shared" si="18"/>
        <v>239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28</v>
      </c>
      <c r="AB29" s="28">
        <f>AVERAGE(AB6:AB28)</f>
        <v>0.5714285714285714</v>
      </c>
      <c r="AC29" s="4">
        <f>AVERAGE(AC6:AC28)</f>
        <v>0.375</v>
      </c>
      <c r="AD29" s="4">
        <f>AVERAGE(AD6:AD28)</f>
        <v>0.375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379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380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252" t="s">
        <v>46</v>
      </c>
      <c r="D58" s="252" t="s">
        <v>47</v>
      </c>
      <c r="E58" s="252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252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254" t="s">
        <v>223</v>
      </c>
      <c r="D59" s="254" t="s">
        <v>155</v>
      </c>
      <c r="E59" s="254" t="s">
        <v>325</v>
      </c>
      <c r="F59" s="437" t="s">
        <v>376</v>
      </c>
      <c r="G59" s="438"/>
      <c r="H59" s="438"/>
      <c r="I59" s="438"/>
      <c r="J59" s="438"/>
      <c r="K59" s="438"/>
      <c r="L59" s="438"/>
      <c r="M59" s="439"/>
      <c r="N59" s="253" t="s">
        <v>112</v>
      </c>
      <c r="O59" s="260" t="s">
        <v>223</v>
      </c>
      <c r="P59" s="440" t="s">
        <v>155</v>
      </c>
      <c r="Q59" s="441"/>
      <c r="R59" s="440" t="s">
        <v>325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218</v>
      </c>
      <c r="B60" s="436"/>
      <c r="C60" s="254" t="s">
        <v>148</v>
      </c>
      <c r="D60" s="254"/>
      <c r="E60" s="254" t="s">
        <v>288</v>
      </c>
      <c r="F60" s="437" t="s">
        <v>377</v>
      </c>
      <c r="G60" s="438"/>
      <c r="H60" s="438"/>
      <c r="I60" s="438"/>
      <c r="J60" s="438"/>
      <c r="K60" s="438"/>
      <c r="L60" s="438"/>
      <c r="M60" s="439"/>
      <c r="N60" s="253" t="s">
        <v>116</v>
      </c>
      <c r="O60" s="260" t="s">
        <v>148</v>
      </c>
      <c r="P60" s="440" t="s">
        <v>133</v>
      </c>
      <c r="Q60" s="441"/>
      <c r="R60" s="440" t="s">
        <v>348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254" t="s">
        <v>326</v>
      </c>
      <c r="D61" s="254" t="s">
        <v>129</v>
      </c>
      <c r="E61" s="254" t="s">
        <v>324</v>
      </c>
      <c r="F61" s="437" t="s">
        <v>378</v>
      </c>
      <c r="G61" s="438"/>
      <c r="H61" s="438"/>
      <c r="I61" s="438"/>
      <c r="J61" s="438"/>
      <c r="K61" s="438"/>
      <c r="L61" s="438"/>
      <c r="M61" s="439"/>
      <c r="N61" s="253" t="s">
        <v>116</v>
      </c>
      <c r="O61" s="260" t="s">
        <v>184</v>
      </c>
      <c r="P61" s="440" t="s">
        <v>155</v>
      </c>
      <c r="Q61" s="441"/>
      <c r="R61" s="440" t="s">
        <v>176</v>
      </c>
      <c r="S61" s="442"/>
      <c r="T61" s="442"/>
      <c r="U61" s="441"/>
      <c r="V61" s="437" t="s">
        <v>182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/>
      <c r="B62" s="436"/>
      <c r="C62" s="254"/>
      <c r="D62" s="254"/>
      <c r="E62" s="254"/>
      <c r="F62" s="437"/>
      <c r="G62" s="438"/>
      <c r="H62" s="438"/>
      <c r="I62" s="438"/>
      <c r="J62" s="438"/>
      <c r="K62" s="438"/>
      <c r="L62" s="438"/>
      <c r="M62" s="439"/>
      <c r="N62" s="253" t="s">
        <v>130</v>
      </c>
      <c r="O62" s="260" t="s">
        <v>196</v>
      </c>
      <c r="P62" s="440" t="s">
        <v>382</v>
      </c>
      <c r="Q62" s="441"/>
      <c r="R62" s="440" t="s">
        <v>381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/>
      <c r="B63" s="436"/>
      <c r="C63" s="254"/>
      <c r="D63" s="254"/>
      <c r="E63" s="254"/>
      <c r="F63" s="437"/>
      <c r="G63" s="438"/>
      <c r="H63" s="438"/>
      <c r="I63" s="438"/>
      <c r="J63" s="438"/>
      <c r="K63" s="438"/>
      <c r="L63" s="438"/>
      <c r="M63" s="439"/>
      <c r="N63" s="253"/>
      <c r="O63" s="260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/>
      <c r="B64" s="436"/>
      <c r="C64" s="254"/>
      <c r="D64" s="254"/>
      <c r="E64" s="254"/>
      <c r="F64" s="437"/>
      <c r="G64" s="438"/>
      <c r="H64" s="438"/>
      <c r="I64" s="438"/>
      <c r="J64" s="438"/>
      <c r="K64" s="438"/>
      <c r="L64" s="438"/>
      <c r="M64" s="439"/>
      <c r="N64" s="253"/>
      <c r="O64" s="260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/>
      <c r="B65" s="436"/>
      <c r="C65" s="254"/>
      <c r="D65" s="254"/>
      <c r="E65" s="254"/>
      <c r="F65" s="437"/>
      <c r="G65" s="438"/>
      <c r="H65" s="438"/>
      <c r="I65" s="438"/>
      <c r="J65" s="438"/>
      <c r="K65" s="438"/>
      <c r="L65" s="438"/>
      <c r="M65" s="439"/>
      <c r="N65" s="253"/>
      <c r="O65" s="260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257"/>
      <c r="D66" s="257"/>
      <c r="E66" s="254"/>
      <c r="F66" s="437"/>
      <c r="G66" s="438"/>
      <c r="H66" s="438"/>
      <c r="I66" s="438"/>
      <c r="J66" s="438"/>
      <c r="K66" s="438"/>
      <c r="L66" s="438"/>
      <c r="M66" s="439"/>
      <c r="N66" s="253"/>
      <c r="O66" s="260"/>
      <c r="P66" s="440"/>
      <c r="Q66" s="441"/>
      <c r="R66" s="440"/>
      <c r="S66" s="442"/>
      <c r="T66" s="442"/>
      <c r="U66" s="441"/>
      <c r="V66" s="437"/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257"/>
      <c r="D67" s="257"/>
      <c r="E67" s="254"/>
      <c r="F67" s="437"/>
      <c r="G67" s="438"/>
      <c r="H67" s="438"/>
      <c r="I67" s="438"/>
      <c r="J67" s="438"/>
      <c r="K67" s="438"/>
      <c r="L67" s="438"/>
      <c r="M67" s="439"/>
      <c r="N67" s="253"/>
      <c r="O67" s="260"/>
      <c r="P67" s="436"/>
      <c r="Q67" s="436"/>
      <c r="R67" s="436"/>
      <c r="S67" s="436"/>
      <c r="T67" s="436"/>
      <c r="U67" s="436"/>
      <c r="V67" s="443"/>
      <c r="W67" s="443"/>
      <c r="X67" s="443"/>
      <c r="Y67" s="443"/>
      <c r="Z67" s="443"/>
      <c r="AA67" s="443"/>
      <c r="AB67" s="443"/>
      <c r="AC67" s="443"/>
      <c r="AD67" s="444"/>
      <c r="AF67" s="84">
        <f>8*3000</f>
        <v>24000</v>
      </c>
    </row>
    <row r="68" spans="1:32" ht="27" customHeight="1" thickBot="1">
      <c r="A68" s="445"/>
      <c r="B68" s="446"/>
      <c r="C68" s="255"/>
      <c r="D68" s="256"/>
      <c r="E68" s="255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383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258" t="s">
        <v>2</v>
      </c>
      <c r="D70" s="258" t="s">
        <v>37</v>
      </c>
      <c r="E70" s="258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258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116</v>
      </c>
      <c r="D71" s="262"/>
      <c r="E71" s="259" t="s">
        <v>155</v>
      </c>
      <c r="F71" s="464" t="s">
        <v>283</v>
      </c>
      <c r="G71" s="465"/>
      <c r="H71" s="465"/>
      <c r="I71" s="465"/>
      <c r="J71" s="465"/>
      <c r="K71" s="465" t="s">
        <v>289</v>
      </c>
      <c r="L71" s="465"/>
      <c r="M71" s="51" t="s">
        <v>385</v>
      </c>
      <c r="N71" s="466" t="s">
        <v>148</v>
      </c>
      <c r="O71" s="466"/>
      <c r="P71" s="467">
        <v>30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112</v>
      </c>
      <c r="D72" s="262"/>
      <c r="E72" s="259" t="s">
        <v>115</v>
      </c>
      <c r="F72" s="464" t="s">
        <v>384</v>
      </c>
      <c r="G72" s="465"/>
      <c r="H72" s="465"/>
      <c r="I72" s="465"/>
      <c r="J72" s="465"/>
      <c r="K72" s="465" t="s">
        <v>153</v>
      </c>
      <c r="L72" s="465"/>
      <c r="M72" s="51" t="s">
        <v>272</v>
      </c>
      <c r="N72" s="466" t="s">
        <v>148</v>
      </c>
      <c r="O72" s="466"/>
      <c r="P72" s="467">
        <v>30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 t="s">
        <v>130</v>
      </c>
      <c r="D73" s="262"/>
      <c r="E73" s="259" t="s">
        <v>133</v>
      </c>
      <c r="F73" s="469" t="s">
        <v>330</v>
      </c>
      <c r="G73" s="470"/>
      <c r="H73" s="470"/>
      <c r="I73" s="470"/>
      <c r="J73" s="471"/>
      <c r="K73" s="465" t="s">
        <v>289</v>
      </c>
      <c r="L73" s="465"/>
      <c r="M73" s="51" t="s">
        <v>214</v>
      </c>
      <c r="N73" s="466" t="s">
        <v>148</v>
      </c>
      <c r="O73" s="466"/>
      <c r="P73" s="467">
        <v>100</v>
      </c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/>
      <c r="D74" s="262"/>
      <c r="E74" s="259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262"/>
      <c r="E75" s="259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262"/>
      <c r="E76" s="259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262"/>
      <c r="E77" s="259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262"/>
      <c r="E78" s="259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262"/>
      <c r="E79" s="259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262"/>
      <c r="E80" s="259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386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261" t="s">
        <v>2</v>
      </c>
      <c r="D82" s="261" t="s">
        <v>37</v>
      </c>
      <c r="E82" s="261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263"/>
      <c r="D83" s="263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262"/>
      <c r="D84" s="262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9">A84+1</f>
        <v>3</v>
      </c>
      <c r="B85" s="481"/>
      <c r="C85" s="262"/>
      <c r="D85" s="262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9"/>
        <v>4</v>
      </c>
      <c r="B86" s="481"/>
      <c r="C86" s="262"/>
      <c r="D86" s="262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9"/>
        <v>5</v>
      </c>
      <c r="B87" s="481"/>
      <c r="C87" s="262"/>
      <c r="D87" s="262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9"/>
        <v>6</v>
      </c>
      <c r="B88" s="481"/>
      <c r="C88" s="262"/>
      <c r="D88" s="262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9"/>
        <v>7</v>
      </c>
      <c r="B89" s="481"/>
      <c r="C89" s="262"/>
      <c r="D89" s="262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387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3120-C730-4B93-BB1E-C3E40D11F34D}">
  <sheetPr codeName="Sheet13">
    <pageSetUpPr fitToPage="1"/>
  </sheetPr>
  <dimension ref="A1:AF93"/>
  <sheetViews>
    <sheetView view="pageBreakPreview" zoomScale="70" zoomScaleNormal="72" zoomScaleSheetLayoutView="70" workbookViewId="0">
      <selection activeCell="T14" sqref="T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388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276" t="s">
        <v>17</v>
      </c>
      <c r="L5" s="276" t="s">
        <v>18</v>
      </c>
      <c r="M5" s="276" t="s">
        <v>19</v>
      </c>
      <c r="N5" s="27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15136</v>
      </c>
      <c r="K6" s="15">
        <f>L6</f>
        <v>15136</v>
      </c>
      <c r="L6" s="15">
        <f>2455*4+1329*4</f>
        <v>15136</v>
      </c>
      <c r="M6" s="15">
        <f t="shared" ref="M6:M27" si="0">L6-N6</f>
        <v>15136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20</v>
      </c>
      <c r="Q6" s="40">
        <f t="shared" ref="Q6:Q27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0.83333333333333337</v>
      </c>
      <c r="AD6" s="10">
        <f t="shared" ref="AD6:AD27" si="6">AC6*AB6*(1-O6)</f>
        <v>0.83333333333333337</v>
      </c>
      <c r="AE6" s="36">
        <f t="shared" ref="AE6:AE27" si="7">$AD$28</f>
        <v>0.41666666666666674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133</v>
      </c>
      <c r="E7" s="53" t="s">
        <v>348</v>
      </c>
      <c r="F7" s="30" t="s">
        <v>125</v>
      </c>
      <c r="G7" s="12">
        <v>3</v>
      </c>
      <c r="H7" s="13">
        <v>24</v>
      </c>
      <c r="I7" s="31">
        <v>38000</v>
      </c>
      <c r="J7" s="14">
        <v>20424</v>
      </c>
      <c r="K7" s="15">
        <f>L7+8514+22560+3188</f>
        <v>54686</v>
      </c>
      <c r="L7" s="15">
        <f>2368*4+2738*4</f>
        <v>20424</v>
      </c>
      <c r="M7" s="15">
        <f t="shared" si="0"/>
        <v>20424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0.41666666666666674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116</v>
      </c>
      <c r="D8" s="52" t="s">
        <v>121</v>
      </c>
      <c r="E8" s="53" t="s">
        <v>349</v>
      </c>
      <c r="F8" s="30" t="s">
        <v>350</v>
      </c>
      <c r="G8" s="12">
        <v>4</v>
      </c>
      <c r="H8" s="13">
        <v>24</v>
      </c>
      <c r="I8" s="7">
        <v>38000</v>
      </c>
      <c r="J8" s="14">
        <v>17054</v>
      </c>
      <c r="K8" s="15">
        <f>L8+12772+19804+21960</f>
        <v>71590</v>
      </c>
      <c r="L8" s="15">
        <f>2151*3+2399*4+335*3</f>
        <v>17054</v>
      </c>
      <c r="M8" s="15">
        <f t="shared" si="0"/>
        <v>17054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0.41666666666666674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129</v>
      </c>
      <c r="E9" s="53" t="s">
        <v>228</v>
      </c>
      <c r="F9" s="30" t="s">
        <v>124</v>
      </c>
      <c r="G9" s="12">
        <v>1</v>
      </c>
      <c r="H9" s="13">
        <v>24</v>
      </c>
      <c r="I9" s="7">
        <v>35000</v>
      </c>
      <c r="J9" s="14">
        <v>4965</v>
      </c>
      <c r="K9" s="15">
        <f>L9+5140+2859+4218+5443+3499+4196+5464+5557+5479</f>
        <v>46820</v>
      </c>
      <c r="L9" s="15">
        <f>2203+2762</f>
        <v>4965</v>
      </c>
      <c r="M9" s="15">
        <f t="shared" si="0"/>
        <v>4965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0.41666666666666674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121</v>
      </c>
      <c r="E10" s="53" t="s">
        <v>287</v>
      </c>
      <c r="F10" s="30" t="s">
        <v>132</v>
      </c>
      <c r="G10" s="33">
        <v>2</v>
      </c>
      <c r="H10" s="35">
        <v>24</v>
      </c>
      <c r="I10" s="7">
        <v>300</v>
      </c>
      <c r="J10" s="14">
        <v>300</v>
      </c>
      <c r="K10" s="15">
        <f>L10+300</f>
        <v>300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0.41666666666666674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221</v>
      </c>
      <c r="E11" s="53" t="s">
        <v>362</v>
      </c>
      <c r="F11" s="30" t="s">
        <v>220</v>
      </c>
      <c r="G11" s="33">
        <v>2</v>
      </c>
      <c r="H11" s="35">
        <v>24</v>
      </c>
      <c r="I11" s="7">
        <v>12000</v>
      </c>
      <c r="J11" s="14">
        <v>5154</v>
      </c>
      <c r="K11" s="15">
        <f>L11+8826+5154</f>
        <v>13980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0.41666666666666674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358</v>
      </c>
      <c r="F12" s="30" t="s">
        <v>363</v>
      </c>
      <c r="G12" s="12">
        <v>4</v>
      </c>
      <c r="H12" s="13">
        <v>22</v>
      </c>
      <c r="I12" s="31">
        <v>38000</v>
      </c>
      <c r="J12" s="5">
        <v>18552</v>
      </c>
      <c r="K12" s="15">
        <f>L12+18692+19448</f>
        <v>56692</v>
      </c>
      <c r="L12" s="15">
        <f>2169*4+2469*4</f>
        <v>18552</v>
      </c>
      <c r="M12" s="15">
        <f t="shared" si="0"/>
        <v>18552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0.41666666666666674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323</v>
      </c>
      <c r="F13" s="30" t="s">
        <v>123</v>
      </c>
      <c r="G13" s="33">
        <v>4</v>
      </c>
      <c r="H13" s="35">
        <v>22</v>
      </c>
      <c r="I13" s="7">
        <v>250000</v>
      </c>
      <c r="J13" s="14">
        <v>25520</v>
      </c>
      <c r="K13" s="15">
        <f>L13+23364+21016+15924+26688</f>
        <v>112512</v>
      </c>
      <c r="L13" s="15">
        <f>2989*4+3391*4</f>
        <v>25520</v>
      </c>
      <c r="M13" s="15">
        <f t="shared" si="0"/>
        <v>25520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0.41666666666666674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214</v>
      </c>
      <c r="K14" s="15">
        <f>L14+214</f>
        <v>214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0.41666666666666674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0.41666666666666674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145</v>
      </c>
      <c r="D16" s="52"/>
      <c r="E16" s="53" t="s">
        <v>341</v>
      </c>
      <c r="F16" s="30" t="s">
        <v>146</v>
      </c>
      <c r="G16" s="12">
        <v>29</v>
      </c>
      <c r="H16" s="13">
        <v>24</v>
      </c>
      <c r="I16" s="7">
        <v>600000</v>
      </c>
      <c r="J16" s="14">
        <v>245952</v>
      </c>
      <c r="K16" s="15">
        <f>L16+290377+321030+302316</f>
        <v>1159675</v>
      </c>
      <c r="L16" s="15">
        <f>3316*28+5468*28</f>
        <v>245952</v>
      </c>
      <c r="M16" s="15">
        <f t="shared" si="0"/>
        <v>245952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0.41666666666666674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116</v>
      </c>
      <c r="D17" s="52" t="s">
        <v>155</v>
      </c>
      <c r="E17" s="53" t="s">
        <v>176</v>
      </c>
      <c r="F17" s="30" t="s">
        <v>156</v>
      </c>
      <c r="G17" s="12">
        <v>1</v>
      </c>
      <c r="H17" s="13">
        <v>24</v>
      </c>
      <c r="I17" s="7">
        <v>500</v>
      </c>
      <c r="J17" s="14">
        <v>1658</v>
      </c>
      <c r="K17" s="15">
        <f>L17</f>
        <v>1658</v>
      </c>
      <c r="L17" s="15">
        <f>710+948</f>
        <v>1658</v>
      </c>
      <c r="M17" s="15">
        <f t="shared" si="0"/>
        <v>1658</v>
      </c>
      <c r="N17" s="15">
        <v>0</v>
      </c>
      <c r="O17" s="58">
        <f t="shared" si="1"/>
        <v>0</v>
      </c>
      <c r="P17" s="39">
        <f t="shared" si="2"/>
        <v>9</v>
      </c>
      <c r="Q17" s="40">
        <f t="shared" si="3"/>
        <v>15</v>
      </c>
      <c r="R17" s="7"/>
      <c r="S17" s="6"/>
      <c r="T17" s="16"/>
      <c r="U17" s="16"/>
      <c r="V17" s="17"/>
      <c r="W17" s="5">
        <v>15</v>
      </c>
      <c r="X17" s="16"/>
      <c r="Y17" s="16"/>
      <c r="Z17" s="16"/>
      <c r="AA17" s="18"/>
      <c r="AB17" s="8">
        <f t="shared" si="4"/>
        <v>1</v>
      </c>
      <c r="AC17" s="9">
        <f t="shared" si="5"/>
        <v>0.375</v>
      </c>
      <c r="AD17" s="10">
        <f t="shared" si="6"/>
        <v>0.375</v>
      </c>
      <c r="AE17" s="36">
        <f t="shared" si="7"/>
        <v>0.41666666666666674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130</v>
      </c>
      <c r="D18" s="52" t="s">
        <v>382</v>
      </c>
      <c r="E18" s="53" t="s">
        <v>381</v>
      </c>
      <c r="F18" s="30" t="s">
        <v>131</v>
      </c>
      <c r="G18" s="12" t="s">
        <v>389</v>
      </c>
      <c r="H18" s="13">
        <v>22</v>
      </c>
      <c r="I18" s="31">
        <v>1000</v>
      </c>
      <c r="J18" s="5">
        <v>2161</v>
      </c>
      <c r="K18" s="15">
        <f>L18</f>
        <v>2161</v>
      </c>
      <c r="L18" s="15">
        <f>2161</f>
        <v>2161</v>
      </c>
      <c r="M18" s="15">
        <f t="shared" si="0"/>
        <v>2161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>
        <v>14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0.41666666666666674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116</v>
      </c>
      <c r="D19" s="52" t="s">
        <v>155</v>
      </c>
      <c r="E19" s="53" t="s">
        <v>390</v>
      </c>
      <c r="F19" s="30" t="s">
        <v>124</v>
      </c>
      <c r="G19" s="33">
        <v>1</v>
      </c>
      <c r="H19" s="35">
        <v>24</v>
      </c>
      <c r="I19" s="7">
        <v>1952</v>
      </c>
      <c r="J19" s="14">
        <v>2413</v>
      </c>
      <c r="K19" s="15">
        <f>L19</f>
        <v>2413</v>
      </c>
      <c r="L19" s="15">
        <f>1689+724</f>
        <v>2413</v>
      </c>
      <c r="M19" s="15">
        <f t="shared" si="0"/>
        <v>2413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/>
      <c r="T19" s="16"/>
      <c r="U19" s="16"/>
      <c r="V19" s="17"/>
      <c r="W19" s="5">
        <v>7</v>
      </c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6">
        <f t="shared" si="7"/>
        <v>0.41666666666666674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150000</v>
      </c>
      <c r="J20" s="14">
        <v>14809</v>
      </c>
      <c r="K20" s="15">
        <f>L20+16424+3460+8466+14048</f>
        <v>57207</v>
      </c>
      <c r="L20" s="15">
        <f>2009*4+500*4+1591*3</f>
        <v>14809</v>
      </c>
      <c r="M20" s="15">
        <f t="shared" si="0"/>
        <v>14809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0.41666666666666674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30164</v>
      </c>
      <c r="K21" s="15">
        <f>L21+30164</f>
        <v>30164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0.41666666666666674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0.41666666666666674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0.41666666666666674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0.41666666666666674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0.41666666666666674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0.41666666666666674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0.41666666666666674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4238852</v>
      </c>
      <c r="J28" s="19">
        <f t="shared" si="9"/>
        <v>797384</v>
      </c>
      <c r="K28" s="20">
        <f t="shared" si="9"/>
        <v>6525048</v>
      </c>
      <c r="L28" s="21">
        <f t="shared" si="9"/>
        <v>368644</v>
      </c>
      <c r="M28" s="20">
        <f t="shared" si="9"/>
        <v>368644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220</v>
      </c>
      <c r="Q28" s="43">
        <f t="shared" si="10"/>
        <v>308</v>
      </c>
      <c r="R28" s="23">
        <f t="shared" si="10"/>
        <v>0</v>
      </c>
      <c r="S28" s="24">
        <f t="shared" si="10"/>
        <v>46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262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0.55000000000000004</v>
      </c>
      <c r="AC28" s="4">
        <f>AVERAGE(AC6:AC27)</f>
        <v>0.41666666666666674</v>
      </c>
      <c r="AD28" s="4">
        <f>AVERAGE(AD6:AD27)</f>
        <v>0.41666666666666674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391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397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275" t="s">
        <v>46</v>
      </c>
      <c r="D57" s="275" t="s">
        <v>47</v>
      </c>
      <c r="E57" s="275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275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271" t="s">
        <v>223</v>
      </c>
      <c r="D58" s="271" t="s">
        <v>155</v>
      </c>
      <c r="E58" s="271" t="s">
        <v>325</v>
      </c>
      <c r="F58" s="437" t="s">
        <v>392</v>
      </c>
      <c r="G58" s="438"/>
      <c r="H58" s="438"/>
      <c r="I58" s="438"/>
      <c r="J58" s="438"/>
      <c r="K58" s="438"/>
      <c r="L58" s="438"/>
      <c r="M58" s="439"/>
      <c r="N58" s="274" t="s">
        <v>112</v>
      </c>
      <c r="O58" s="268" t="s">
        <v>148</v>
      </c>
      <c r="P58" s="440" t="s">
        <v>316</v>
      </c>
      <c r="Q58" s="441"/>
      <c r="R58" s="440" t="s">
        <v>398</v>
      </c>
      <c r="S58" s="442"/>
      <c r="T58" s="442"/>
      <c r="U58" s="441"/>
      <c r="V58" s="437" t="s">
        <v>122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116</v>
      </c>
      <c r="B59" s="436"/>
      <c r="C59" s="271" t="s">
        <v>148</v>
      </c>
      <c r="D59" s="271" t="s">
        <v>133</v>
      </c>
      <c r="E59" s="271" t="s">
        <v>348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274" t="s">
        <v>112</v>
      </c>
      <c r="O59" s="268" t="s">
        <v>191</v>
      </c>
      <c r="P59" s="440" t="s">
        <v>115</v>
      </c>
      <c r="Q59" s="441"/>
      <c r="R59" s="440" t="s">
        <v>399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271" t="s">
        <v>326</v>
      </c>
      <c r="D60" s="271" t="s">
        <v>129</v>
      </c>
      <c r="E60" s="271" t="s">
        <v>324</v>
      </c>
      <c r="F60" s="437" t="s">
        <v>393</v>
      </c>
      <c r="G60" s="438"/>
      <c r="H60" s="438"/>
      <c r="I60" s="438"/>
      <c r="J60" s="438"/>
      <c r="K60" s="438"/>
      <c r="L60" s="438"/>
      <c r="M60" s="439"/>
      <c r="N60" s="274" t="s">
        <v>112</v>
      </c>
      <c r="O60" s="268" t="s">
        <v>191</v>
      </c>
      <c r="P60" s="440" t="s">
        <v>115</v>
      </c>
      <c r="Q60" s="441"/>
      <c r="R60" s="440" t="s">
        <v>400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271" t="s">
        <v>191</v>
      </c>
      <c r="D61" s="271" t="s">
        <v>121</v>
      </c>
      <c r="E61" s="271" t="s">
        <v>349</v>
      </c>
      <c r="F61" s="437" t="s">
        <v>394</v>
      </c>
      <c r="G61" s="438"/>
      <c r="H61" s="438"/>
      <c r="I61" s="438"/>
      <c r="J61" s="438"/>
      <c r="K61" s="438"/>
      <c r="L61" s="438"/>
      <c r="M61" s="439"/>
      <c r="N61" s="274" t="s">
        <v>116</v>
      </c>
      <c r="O61" s="268" t="s">
        <v>233</v>
      </c>
      <c r="P61" s="440" t="s">
        <v>259</v>
      </c>
      <c r="Q61" s="441"/>
      <c r="R61" s="440" t="s">
        <v>401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116</v>
      </c>
      <c r="B62" s="436"/>
      <c r="C62" s="271" t="s">
        <v>184</v>
      </c>
      <c r="D62" s="271" t="s">
        <v>155</v>
      </c>
      <c r="E62" s="271" t="s">
        <v>176</v>
      </c>
      <c r="F62" s="437" t="s">
        <v>226</v>
      </c>
      <c r="G62" s="438"/>
      <c r="H62" s="438"/>
      <c r="I62" s="438"/>
      <c r="J62" s="438"/>
      <c r="K62" s="438"/>
      <c r="L62" s="438"/>
      <c r="M62" s="439"/>
      <c r="N62" s="274" t="s">
        <v>116</v>
      </c>
      <c r="O62" s="268" t="s">
        <v>184</v>
      </c>
      <c r="P62" s="440" t="s">
        <v>155</v>
      </c>
      <c r="Q62" s="441"/>
      <c r="R62" s="440" t="s">
        <v>402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130</v>
      </c>
      <c r="B63" s="436"/>
      <c r="C63" s="271" t="s">
        <v>196</v>
      </c>
      <c r="D63" s="271" t="s">
        <v>396</v>
      </c>
      <c r="E63" s="271" t="s">
        <v>381</v>
      </c>
      <c r="F63" s="437" t="s">
        <v>395</v>
      </c>
      <c r="G63" s="438"/>
      <c r="H63" s="438"/>
      <c r="I63" s="438"/>
      <c r="J63" s="438"/>
      <c r="K63" s="438"/>
      <c r="L63" s="438"/>
      <c r="M63" s="439"/>
      <c r="N63" s="274"/>
      <c r="O63" s="268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116</v>
      </c>
      <c r="B64" s="436"/>
      <c r="C64" s="271" t="s">
        <v>234</v>
      </c>
      <c r="D64" s="271" t="s">
        <v>155</v>
      </c>
      <c r="E64" s="271" t="s">
        <v>390</v>
      </c>
      <c r="F64" s="437" t="s">
        <v>182</v>
      </c>
      <c r="G64" s="438"/>
      <c r="H64" s="438"/>
      <c r="I64" s="438"/>
      <c r="J64" s="438"/>
      <c r="K64" s="438"/>
      <c r="L64" s="438"/>
      <c r="M64" s="439"/>
      <c r="N64" s="274"/>
      <c r="O64" s="268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/>
      <c r="B65" s="454"/>
      <c r="C65" s="270"/>
      <c r="D65" s="270"/>
      <c r="E65" s="271"/>
      <c r="F65" s="437"/>
      <c r="G65" s="438"/>
      <c r="H65" s="438"/>
      <c r="I65" s="438"/>
      <c r="J65" s="438"/>
      <c r="K65" s="438"/>
      <c r="L65" s="438"/>
      <c r="M65" s="439"/>
      <c r="N65" s="274"/>
      <c r="O65" s="268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270"/>
      <c r="D66" s="270"/>
      <c r="E66" s="271"/>
      <c r="F66" s="437"/>
      <c r="G66" s="438"/>
      <c r="H66" s="438"/>
      <c r="I66" s="438"/>
      <c r="J66" s="438"/>
      <c r="K66" s="438"/>
      <c r="L66" s="438"/>
      <c r="M66" s="439"/>
      <c r="N66" s="274"/>
      <c r="O66" s="268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272"/>
      <c r="D67" s="273"/>
      <c r="E67" s="272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403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269" t="s">
        <v>2</v>
      </c>
      <c r="D69" s="269" t="s">
        <v>37</v>
      </c>
      <c r="E69" s="269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269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116</v>
      </c>
      <c r="D70" s="264"/>
      <c r="E70" s="267" t="s">
        <v>155</v>
      </c>
      <c r="F70" s="464" t="s">
        <v>404</v>
      </c>
      <c r="G70" s="465"/>
      <c r="H70" s="465"/>
      <c r="I70" s="465"/>
      <c r="J70" s="465"/>
      <c r="K70" s="465" t="s">
        <v>124</v>
      </c>
      <c r="L70" s="465"/>
      <c r="M70" s="51" t="s">
        <v>214</v>
      </c>
      <c r="N70" s="466" t="s">
        <v>196</v>
      </c>
      <c r="O70" s="466"/>
      <c r="P70" s="467">
        <v>100</v>
      </c>
      <c r="Q70" s="467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116</v>
      </c>
      <c r="D71" s="264"/>
      <c r="E71" s="267" t="s">
        <v>155</v>
      </c>
      <c r="F71" s="464" t="s">
        <v>390</v>
      </c>
      <c r="G71" s="465"/>
      <c r="H71" s="465"/>
      <c r="I71" s="465"/>
      <c r="J71" s="465"/>
      <c r="K71" s="465" t="s">
        <v>124</v>
      </c>
      <c r="L71" s="465"/>
      <c r="M71" s="51" t="s">
        <v>214</v>
      </c>
      <c r="N71" s="466" t="s">
        <v>196</v>
      </c>
      <c r="O71" s="466"/>
      <c r="P71" s="467">
        <v>30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/>
      <c r="D72" s="264"/>
      <c r="E72" s="267"/>
      <c r="F72" s="469"/>
      <c r="G72" s="470"/>
      <c r="H72" s="470"/>
      <c r="I72" s="470"/>
      <c r="J72" s="471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264"/>
      <c r="E73" s="267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264"/>
      <c r="E74" s="267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264"/>
      <c r="E75" s="267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264"/>
      <c r="E76" s="267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264"/>
      <c r="E77" s="267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264"/>
      <c r="E78" s="267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264"/>
      <c r="E79" s="267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405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266" t="s">
        <v>2</v>
      </c>
      <c r="D81" s="266" t="s">
        <v>37</v>
      </c>
      <c r="E81" s="266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265"/>
      <c r="D82" s="265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264"/>
      <c r="D83" s="264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264"/>
      <c r="D84" s="264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264"/>
      <c r="D85" s="264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264"/>
      <c r="D86" s="264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264"/>
      <c r="D87" s="264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264"/>
      <c r="D88" s="264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406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A4D4-1BFC-4983-AF40-68B02851BDD8}">
  <sheetPr codeName="Sheet14">
    <pageSetUpPr fitToPage="1"/>
  </sheetPr>
  <dimension ref="A1:AF94"/>
  <sheetViews>
    <sheetView view="pageBreakPreview" zoomScale="70" zoomScaleNormal="72" zoomScaleSheetLayoutView="70" workbookViewId="0">
      <selection activeCell="A8" sqref="A8:XFD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407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277" t="s">
        <v>17</v>
      </c>
      <c r="L5" s="277" t="s">
        <v>18</v>
      </c>
      <c r="M5" s="277" t="s">
        <v>19</v>
      </c>
      <c r="N5" s="27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17956</v>
      </c>
      <c r="K6" s="15">
        <f>L6+15136</f>
        <v>33092</v>
      </c>
      <c r="L6" s="15">
        <f>2271*4+2218*4</f>
        <v>17956</v>
      </c>
      <c r="M6" s="15">
        <f t="shared" ref="M6:M28" si="0">L6-N6</f>
        <v>17956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22</v>
      </c>
      <c r="Q6" s="40">
        <f t="shared" ref="Q6:Q28" si="3">SUM(R6:AA6)</f>
        <v>2</v>
      </c>
      <c r="R6" s="7"/>
      <c r="S6" s="6">
        <v>2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0.91666666666666663</v>
      </c>
      <c r="AD6" s="10">
        <f t="shared" ref="AD6:AD28" si="6">AC6*AB6*(1-O6)</f>
        <v>0.91666666666666663</v>
      </c>
      <c r="AE6" s="36">
        <f t="shared" ref="AE6:AE28" si="7">$AD$29</f>
        <v>0.18659420289855075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316</v>
      </c>
      <c r="E7" s="53" t="s">
        <v>408</v>
      </c>
      <c r="F7" s="30" t="s">
        <v>159</v>
      </c>
      <c r="G7" s="12">
        <v>1</v>
      </c>
      <c r="H7" s="13">
        <v>24</v>
      </c>
      <c r="I7" s="31">
        <v>1300</v>
      </c>
      <c r="J7" s="14">
        <v>3239</v>
      </c>
      <c r="K7" s="15">
        <f>L7</f>
        <v>3239</v>
      </c>
      <c r="L7" s="15">
        <f>1001+2238</f>
        <v>3239</v>
      </c>
      <c r="M7" s="15">
        <f t="shared" si="0"/>
        <v>3239</v>
      </c>
      <c r="N7" s="15">
        <v>0</v>
      </c>
      <c r="O7" s="58">
        <f t="shared" si="1"/>
        <v>0</v>
      </c>
      <c r="P7" s="39">
        <f t="shared" si="2"/>
        <v>19</v>
      </c>
      <c r="Q7" s="40">
        <f t="shared" si="3"/>
        <v>5</v>
      </c>
      <c r="R7" s="7"/>
      <c r="S7" s="6"/>
      <c r="T7" s="16"/>
      <c r="U7" s="16"/>
      <c r="V7" s="17"/>
      <c r="W7" s="5"/>
      <c r="X7" s="16"/>
      <c r="Y7" s="16"/>
      <c r="Z7" s="16"/>
      <c r="AA7" s="18">
        <v>5</v>
      </c>
      <c r="AB7" s="8">
        <f t="shared" si="4"/>
        <v>1</v>
      </c>
      <c r="AC7" s="9">
        <f t="shared" si="5"/>
        <v>0.79166666666666663</v>
      </c>
      <c r="AD7" s="10">
        <f t="shared" si="6"/>
        <v>0.79166666666666663</v>
      </c>
      <c r="AE7" s="36">
        <f t="shared" si="7"/>
        <v>0.18659420289855075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112</v>
      </c>
      <c r="D8" s="52" t="s">
        <v>115</v>
      </c>
      <c r="E8" s="53" t="s">
        <v>400</v>
      </c>
      <c r="F8" s="30" t="s">
        <v>409</v>
      </c>
      <c r="G8" s="12">
        <v>4</v>
      </c>
      <c r="H8" s="13">
        <v>24</v>
      </c>
      <c r="I8" s="7">
        <v>100</v>
      </c>
      <c r="J8" s="14">
        <v>100</v>
      </c>
      <c r="K8" s="15">
        <f>L8</f>
        <v>100</v>
      </c>
      <c r="L8" s="15">
        <v>100</v>
      </c>
      <c r="M8" s="15">
        <f t="shared" si="0"/>
        <v>100</v>
      </c>
      <c r="N8" s="15">
        <v>0</v>
      </c>
      <c r="O8" s="58">
        <f t="shared" si="1"/>
        <v>0</v>
      </c>
      <c r="P8" s="39">
        <f t="shared" si="2"/>
        <v>3</v>
      </c>
      <c r="Q8" s="40">
        <f t="shared" si="3"/>
        <v>21</v>
      </c>
      <c r="R8" s="7"/>
      <c r="S8" s="6">
        <v>2</v>
      </c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0.125</v>
      </c>
      <c r="AD8" s="10">
        <f t="shared" si="6"/>
        <v>0.125</v>
      </c>
      <c r="AE8" s="36">
        <f t="shared" si="7"/>
        <v>0.18659420289855075</v>
      </c>
      <c r="AF8" s="84">
        <f t="shared" si="8"/>
        <v>3</v>
      </c>
    </row>
    <row r="9" spans="1:32" ht="27" customHeight="1">
      <c r="A9" s="112">
        <v>3</v>
      </c>
      <c r="B9" s="11" t="s">
        <v>57</v>
      </c>
      <c r="C9" s="34" t="s">
        <v>112</v>
      </c>
      <c r="D9" s="52" t="s">
        <v>115</v>
      </c>
      <c r="E9" s="53" t="s">
        <v>399</v>
      </c>
      <c r="F9" s="30" t="s">
        <v>409</v>
      </c>
      <c r="G9" s="12">
        <v>4</v>
      </c>
      <c r="H9" s="13">
        <v>24</v>
      </c>
      <c r="I9" s="7">
        <v>100</v>
      </c>
      <c r="J9" s="14">
        <v>100</v>
      </c>
      <c r="K9" s="15">
        <f>L9</f>
        <v>100</v>
      </c>
      <c r="L9" s="15">
        <v>100</v>
      </c>
      <c r="M9" s="15">
        <f t="shared" ref="M9" si="9">L9-N9</f>
        <v>100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3</v>
      </c>
      <c r="Q9" s="40">
        <f t="shared" ref="Q9" si="12">SUM(R9:AA9)</f>
        <v>21</v>
      </c>
      <c r="R9" s="7"/>
      <c r="S9" s="6"/>
      <c r="T9" s="16"/>
      <c r="U9" s="16"/>
      <c r="V9" s="17"/>
      <c r="W9" s="5">
        <v>21</v>
      </c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0.125</v>
      </c>
      <c r="AD9" s="10">
        <f t="shared" ref="AD9" si="15">AC9*AB9*(1-O9)</f>
        <v>0.125</v>
      </c>
      <c r="AE9" s="36">
        <f t="shared" si="7"/>
        <v>0.18659420289855075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259</v>
      </c>
      <c r="E10" s="53" t="s">
        <v>410</v>
      </c>
      <c r="F10" s="30" t="s">
        <v>411</v>
      </c>
      <c r="G10" s="12">
        <v>1</v>
      </c>
      <c r="H10" s="13">
        <v>24</v>
      </c>
      <c r="I10" s="7">
        <v>30000</v>
      </c>
      <c r="J10" s="14">
        <v>2149</v>
      </c>
      <c r="K10" s="15">
        <f>L10</f>
        <v>2149</v>
      </c>
      <c r="L10" s="15">
        <f>1786+363</f>
        <v>2149</v>
      </c>
      <c r="M10" s="15">
        <f t="shared" si="0"/>
        <v>2149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>
        <v>14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6">
        <f t="shared" si="7"/>
        <v>0.18659420289855075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116</v>
      </c>
      <c r="D11" s="52" t="s">
        <v>121</v>
      </c>
      <c r="E11" s="53" t="s">
        <v>287</v>
      </c>
      <c r="F11" s="30" t="s">
        <v>132</v>
      </c>
      <c r="G11" s="33">
        <v>2</v>
      </c>
      <c r="H11" s="35">
        <v>24</v>
      </c>
      <c r="I11" s="7">
        <v>300</v>
      </c>
      <c r="J11" s="14">
        <v>300</v>
      </c>
      <c r="K11" s="15">
        <f>L11+300</f>
        <v>300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0.18659420289855075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221</v>
      </c>
      <c r="E12" s="53" t="s">
        <v>362</v>
      </c>
      <c r="F12" s="30" t="s">
        <v>220</v>
      </c>
      <c r="G12" s="33">
        <v>2</v>
      </c>
      <c r="H12" s="35">
        <v>24</v>
      </c>
      <c r="I12" s="7">
        <v>12000</v>
      </c>
      <c r="J12" s="14">
        <v>5154</v>
      </c>
      <c r="K12" s="15">
        <f>L12+8826+5154</f>
        <v>13980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0.18659420289855075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358</v>
      </c>
      <c r="F13" s="30" t="s">
        <v>363</v>
      </c>
      <c r="G13" s="12">
        <v>4</v>
      </c>
      <c r="H13" s="13">
        <v>22</v>
      </c>
      <c r="I13" s="31">
        <v>38000</v>
      </c>
      <c r="J13" s="5">
        <v>18552</v>
      </c>
      <c r="K13" s="15">
        <f>L13+18692+19448+18552</f>
        <v>56692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0.18659420289855075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259</v>
      </c>
      <c r="E14" s="53" t="s">
        <v>323</v>
      </c>
      <c r="F14" s="30" t="s">
        <v>123</v>
      </c>
      <c r="G14" s="33">
        <v>4</v>
      </c>
      <c r="H14" s="35">
        <v>22</v>
      </c>
      <c r="I14" s="7">
        <v>250000</v>
      </c>
      <c r="J14" s="14">
        <v>8240</v>
      </c>
      <c r="K14" s="15">
        <f>L14+23364+21016+15924+26688+25520</f>
        <v>120752</v>
      </c>
      <c r="L14" s="15">
        <f>2060*4</f>
        <v>8240</v>
      </c>
      <c r="M14" s="15">
        <f t="shared" si="0"/>
        <v>8240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>
        <v>14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 t="shared" si="6"/>
        <v>0.41666666666666669</v>
      </c>
      <c r="AE14" s="36">
        <f t="shared" si="7"/>
        <v>0.18659420289855075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231</v>
      </c>
      <c r="F15" s="30" t="s">
        <v>159</v>
      </c>
      <c r="G15" s="33">
        <v>1</v>
      </c>
      <c r="H15" s="35">
        <v>30</v>
      </c>
      <c r="I15" s="7">
        <v>100</v>
      </c>
      <c r="J15" s="5">
        <v>214</v>
      </c>
      <c r="K15" s="15">
        <f>L15+214</f>
        <v>214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0.18659420289855075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0.18659420289855075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145</v>
      </c>
      <c r="D17" s="52"/>
      <c r="E17" s="53" t="s">
        <v>341</v>
      </c>
      <c r="F17" s="30" t="s">
        <v>146</v>
      </c>
      <c r="G17" s="12">
        <v>29</v>
      </c>
      <c r="H17" s="13">
        <v>24</v>
      </c>
      <c r="I17" s="7">
        <v>600000</v>
      </c>
      <c r="J17" s="14">
        <v>245952</v>
      </c>
      <c r="K17" s="15">
        <f>L17+290377+321030+302316+245952</f>
        <v>1159675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0.18659420289855075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116</v>
      </c>
      <c r="D18" s="52" t="s">
        <v>155</v>
      </c>
      <c r="E18" s="53" t="s">
        <v>402</v>
      </c>
      <c r="F18" s="30" t="s">
        <v>289</v>
      </c>
      <c r="G18" s="12">
        <v>1</v>
      </c>
      <c r="H18" s="13">
        <v>24</v>
      </c>
      <c r="I18" s="7">
        <v>1500</v>
      </c>
      <c r="J18" s="14">
        <v>4231</v>
      </c>
      <c r="K18" s="15">
        <f>L18</f>
        <v>4231</v>
      </c>
      <c r="L18" s="15">
        <f>2842+1389</f>
        <v>4231</v>
      </c>
      <c r="M18" s="15">
        <f t="shared" si="0"/>
        <v>4231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0.18659420289855075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34" t="s">
        <v>130</v>
      </c>
      <c r="D19" s="52" t="s">
        <v>382</v>
      </c>
      <c r="E19" s="53" t="s">
        <v>381</v>
      </c>
      <c r="F19" s="30" t="s">
        <v>131</v>
      </c>
      <c r="G19" s="12" t="s">
        <v>389</v>
      </c>
      <c r="H19" s="13">
        <v>22</v>
      </c>
      <c r="I19" s="31">
        <v>1000</v>
      </c>
      <c r="J19" s="5">
        <v>2161</v>
      </c>
      <c r="K19" s="15">
        <f>L19+2161</f>
        <v>2161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0.18659420289855075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116</v>
      </c>
      <c r="D20" s="52" t="s">
        <v>155</v>
      </c>
      <c r="E20" s="53" t="s">
        <v>390</v>
      </c>
      <c r="F20" s="30" t="s">
        <v>124</v>
      </c>
      <c r="G20" s="33">
        <v>1</v>
      </c>
      <c r="H20" s="35">
        <v>24</v>
      </c>
      <c r="I20" s="7">
        <v>1952</v>
      </c>
      <c r="J20" s="14">
        <v>2413</v>
      </c>
      <c r="K20" s="15">
        <f>L20+2413</f>
        <v>2413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0.18659420289855075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324</v>
      </c>
      <c r="F21" s="30" t="s">
        <v>124</v>
      </c>
      <c r="G21" s="33">
        <v>4</v>
      </c>
      <c r="H21" s="35">
        <v>24</v>
      </c>
      <c r="I21" s="7">
        <v>250000</v>
      </c>
      <c r="J21" s="14">
        <v>10420</v>
      </c>
      <c r="K21" s="15">
        <f>L21+16424+3460+8466+14048+14809</f>
        <v>67627</v>
      </c>
      <c r="L21" s="15">
        <f>1484*3+1492*4</f>
        <v>10420</v>
      </c>
      <c r="M21" s="15">
        <f t="shared" si="0"/>
        <v>10420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>
        <v>11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0.18659420289855075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328</v>
      </c>
      <c r="F22" s="12" t="s">
        <v>114</v>
      </c>
      <c r="G22" s="12">
        <v>4</v>
      </c>
      <c r="H22" s="35">
        <v>20</v>
      </c>
      <c r="I22" s="7">
        <v>300000</v>
      </c>
      <c r="J22" s="14">
        <v>30164</v>
      </c>
      <c r="K22" s="15">
        <f>L22+30164</f>
        <v>30164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>
        <v>24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0.18659420289855075</v>
      </c>
      <c r="AF22" s="84">
        <f t="shared" si="8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0.18659420289855075</v>
      </c>
      <c r="AF23" s="84">
        <f t="shared" si="8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0.18659420289855075</v>
      </c>
      <c r="AF24" s="84">
        <f t="shared" si="8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0.18659420289855075</v>
      </c>
      <c r="AF25" s="84">
        <f t="shared" si="8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0.18659420289855075</v>
      </c>
      <c r="AF26" s="84">
        <f t="shared" si="8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0.18659420289855075</v>
      </c>
      <c r="AF27" s="84">
        <f t="shared" si="8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0.18659420289855075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7">SUM(I6:I28)</f>
        <v>4260352</v>
      </c>
      <c r="J29" s="19">
        <f t="shared" si="17"/>
        <v>744253</v>
      </c>
      <c r="K29" s="20">
        <f t="shared" si="17"/>
        <v>6396729</v>
      </c>
      <c r="L29" s="21">
        <f t="shared" si="17"/>
        <v>46435</v>
      </c>
      <c r="M29" s="20">
        <f t="shared" si="17"/>
        <v>46435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103</v>
      </c>
      <c r="Q29" s="43">
        <f t="shared" si="18"/>
        <v>425</v>
      </c>
      <c r="R29" s="23">
        <f t="shared" si="18"/>
        <v>0</v>
      </c>
      <c r="S29" s="24">
        <f t="shared" si="18"/>
        <v>67</v>
      </c>
      <c r="T29" s="24">
        <f t="shared" si="18"/>
        <v>1</v>
      </c>
      <c r="U29" s="24">
        <f t="shared" si="18"/>
        <v>0</v>
      </c>
      <c r="V29" s="25">
        <f t="shared" si="18"/>
        <v>0</v>
      </c>
      <c r="W29" s="26">
        <f t="shared" si="18"/>
        <v>328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29</v>
      </c>
      <c r="AB29" s="28">
        <f>AVERAGE(AB6:AB28)</f>
        <v>0.38095238095238093</v>
      </c>
      <c r="AC29" s="4">
        <f>AVERAGE(AC6:AC28)</f>
        <v>0.18659420289855075</v>
      </c>
      <c r="AD29" s="4">
        <f>AVERAGE(AD6:AD28)</f>
        <v>0.18659420289855075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412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418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278" t="s">
        <v>46</v>
      </c>
      <c r="D58" s="278" t="s">
        <v>47</v>
      </c>
      <c r="E58" s="278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278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280" t="s">
        <v>223</v>
      </c>
      <c r="D59" s="280" t="s">
        <v>155</v>
      </c>
      <c r="E59" s="280" t="s">
        <v>325</v>
      </c>
      <c r="F59" s="437" t="s">
        <v>413</v>
      </c>
      <c r="G59" s="438"/>
      <c r="H59" s="438"/>
      <c r="I59" s="438"/>
      <c r="J59" s="438"/>
      <c r="K59" s="438"/>
      <c r="L59" s="438"/>
      <c r="M59" s="439"/>
      <c r="N59" s="279" t="s">
        <v>130</v>
      </c>
      <c r="O59" s="286" t="s">
        <v>196</v>
      </c>
      <c r="P59" s="440" t="s">
        <v>115</v>
      </c>
      <c r="Q59" s="441"/>
      <c r="R59" s="440" t="s">
        <v>419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280" t="s">
        <v>148</v>
      </c>
      <c r="D60" s="280" t="s">
        <v>316</v>
      </c>
      <c r="E60" s="280" t="s">
        <v>408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279" t="s">
        <v>130</v>
      </c>
      <c r="O60" s="286" t="s">
        <v>191</v>
      </c>
      <c r="P60" s="440" t="s">
        <v>310</v>
      </c>
      <c r="Q60" s="441"/>
      <c r="R60" s="440" t="s">
        <v>420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280" t="s">
        <v>326</v>
      </c>
      <c r="D61" s="280" t="s">
        <v>129</v>
      </c>
      <c r="E61" s="280" t="s">
        <v>324</v>
      </c>
      <c r="F61" s="437" t="s">
        <v>414</v>
      </c>
      <c r="G61" s="438"/>
      <c r="H61" s="438"/>
      <c r="I61" s="438"/>
      <c r="J61" s="438"/>
      <c r="K61" s="438"/>
      <c r="L61" s="438"/>
      <c r="M61" s="439"/>
      <c r="N61" s="279" t="s">
        <v>116</v>
      </c>
      <c r="O61" s="286" t="s">
        <v>233</v>
      </c>
      <c r="P61" s="440" t="s">
        <v>259</v>
      </c>
      <c r="Q61" s="441"/>
      <c r="R61" s="440" t="s">
        <v>401</v>
      </c>
      <c r="S61" s="442"/>
      <c r="T61" s="442"/>
      <c r="U61" s="441"/>
      <c r="V61" s="437" t="s">
        <v>226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116</v>
      </c>
      <c r="B62" s="436"/>
      <c r="C62" s="280" t="s">
        <v>233</v>
      </c>
      <c r="D62" s="280" t="s">
        <v>259</v>
      </c>
      <c r="E62" s="280" t="s">
        <v>401</v>
      </c>
      <c r="F62" s="437" t="s">
        <v>415</v>
      </c>
      <c r="G62" s="438"/>
      <c r="H62" s="438"/>
      <c r="I62" s="438"/>
      <c r="J62" s="438"/>
      <c r="K62" s="438"/>
      <c r="L62" s="438"/>
      <c r="M62" s="439"/>
      <c r="N62" s="279" t="s">
        <v>112</v>
      </c>
      <c r="O62" s="286" t="s">
        <v>245</v>
      </c>
      <c r="P62" s="440" t="s">
        <v>259</v>
      </c>
      <c r="Q62" s="441"/>
      <c r="R62" s="440" t="s">
        <v>323</v>
      </c>
      <c r="S62" s="442"/>
      <c r="T62" s="442"/>
      <c r="U62" s="441"/>
      <c r="V62" s="437" t="s">
        <v>226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116</v>
      </c>
      <c r="B63" s="436"/>
      <c r="C63" s="280" t="s">
        <v>184</v>
      </c>
      <c r="D63" s="280" t="s">
        <v>155</v>
      </c>
      <c r="E63" s="280" t="s">
        <v>402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279" t="s">
        <v>112</v>
      </c>
      <c r="O63" s="286" t="s">
        <v>326</v>
      </c>
      <c r="P63" s="440" t="s">
        <v>129</v>
      </c>
      <c r="Q63" s="441"/>
      <c r="R63" s="440" t="s">
        <v>324</v>
      </c>
      <c r="S63" s="442"/>
      <c r="T63" s="442"/>
      <c r="U63" s="441"/>
      <c r="V63" s="437" t="s">
        <v>226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280" t="s">
        <v>191</v>
      </c>
      <c r="D64" s="280" t="s">
        <v>115</v>
      </c>
      <c r="E64" s="280" t="s">
        <v>399</v>
      </c>
      <c r="F64" s="437" t="s">
        <v>416</v>
      </c>
      <c r="G64" s="438"/>
      <c r="H64" s="438"/>
      <c r="I64" s="438"/>
      <c r="J64" s="438"/>
      <c r="K64" s="438"/>
      <c r="L64" s="438"/>
      <c r="M64" s="439"/>
      <c r="N64" s="279"/>
      <c r="O64" s="286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 t="s">
        <v>112</v>
      </c>
      <c r="B65" s="436"/>
      <c r="C65" s="280" t="s">
        <v>191</v>
      </c>
      <c r="D65" s="280" t="s">
        <v>115</v>
      </c>
      <c r="E65" s="280" t="s">
        <v>400</v>
      </c>
      <c r="F65" s="437" t="s">
        <v>122</v>
      </c>
      <c r="G65" s="438"/>
      <c r="H65" s="438"/>
      <c r="I65" s="438"/>
      <c r="J65" s="438"/>
      <c r="K65" s="438"/>
      <c r="L65" s="438"/>
      <c r="M65" s="439"/>
      <c r="N65" s="279"/>
      <c r="O65" s="286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 t="s">
        <v>112</v>
      </c>
      <c r="B66" s="454"/>
      <c r="C66" s="283" t="s">
        <v>245</v>
      </c>
      <c r="D66" s="283" t="s">
        <v>259</v>
      </c>
      <c r="E66" s="280" t="s">
        <v>323</v>
      </c>
      <c r="F66" s="437" t="s">
        <v>417</v>
      </c>
      <c r="G66" s="438"/>
      <c r="H66" s="438"/>
      <c r="I66" s="438"/>
      <c r="J66" s="438"/>
      <c r="K66" s="438"/>
      <c r="L66" s="438"/>
      <c r="M66" s="439"/>
      <c r="N66" s="279"/>
      <c r="O66" s="286"/>
      <c r="P66" s="440"/>
      <c r="Q66" s="441"/>
      <c r="R66" s="440"/>
      <c r="S66" s="442"/>
      <c r="T66" s="442"/>
      <c r="U66" s="441"/>
      <c r="V66" s="437"/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283"/>
      <c r="D67" s="283"/>
      <c r="E67" s="280"/>
      <c r="F67" s="437"/>
      <c r="G67" s="438"/>
      <c r="H67" s="438"/>
      <c r="I67" s="438"/>
      <c r="J67" s="438"/>
      <c r="K67" s="438"/>
      <c r="L67" s="438"/>
      <c r="M67" s="439"/>
      <c r="N67" s="279"/>
      <c r="O67" s="286"/>
      <c r="P67" s="436"/>
      <c r="Q67" s="436"/>
      <c r="R67" s="436"/>
      <c r="S67" s="436"/>
      <c r="T67" s="436"/>
      <c r="U67" s="436"/>
      <c r="V67" s="443"/>
      <c r="W67" s="443"/>
      <c r="X67" s="443"/>
      <c r="Y67" s="443"/>
      <c r="Z67" s="443"/>
      <c r="AA67" s="443"/>
      <c r="AB67" s="443"/>
      <c r="AC67" s="443"/>
      <c r="AD67" s="444"/>
      <c r="AF67" s="84">
        <f>8*3000</f>
        <v>24000</v>
      </c>
    </row>
    <row r="68" spans="1:32" ht="27" customHeight="1" thickBot="1">
      <c r="A68" s="445"/>
      <c r="B68" s="446"/>
      <c r="C68" s="281"/>
      <c r="D68" s="282"/>
      <c r="E68" s="281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421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284" t="s">
        <v>2</v>
      </c>
      <c r="D70" s="284" t="s">
        <v>37</v>
      </c>
      <c r="E70" s="284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284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112</v>
      </c>
      <c r="D71" s="288"/>
      <c r="E71" s="285" t="s">
        <v>115</v>
      </c>
      <c r="F71" s="464" t="s">
        <v>384</v>
      </c>
      <c r="G71" s="465"/>
      <c r="H71" s="465"/>
      <c r="I71" s="465"/>
      <c r="J71" s="465"/>
      <c r="K71" s="465" t="s">
        <v>153</v>
      </c>
      <c r="L71" s="465"/>
      <c r="M71" s="51" t="s">
        <v>214</v>
      </c>
      <c r="N71" s="466" t="s">
        <v>148</v>
      </c>
      <c r="O71" s="466"/>
      <c r="P71" s="467">
        <v>30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116</v>
      </c>
      <c r="D72" s="288"/>
      <c r="E72" s="285" t="s">
        <v>157</v>
      </c>
      <c r="F72" s="464" t="s">
        <v>422</v>
      </c>
      <c r="G72" s="465"/>
      <c r="H72" s="465"/>
      <c r="I72" s="465"/>
      <c r="J72" s="465"/>
      <c r="K72" s="465" t="s">
        <v>132</v>
      </c>
      <c r="L72" s="465"/>
      <c r="M72" s="51" t="s">
        <v>429</v>
      </c>
      <c r="N72" s="466" t="s">
        <v>199</v>
      </c>
      <c r="O72" s="466"/>
      <c r="P72" s="467">
        <v>200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 t="s">
        <v>116</v>
      </c>
      <c r="D73" s="288"/>
      <c r="E73" s="285" t="s">
        <v>430</v>
      </c>
      <c r="F73" s="469" t="s">
        <v>423</v>
      </c>
      <c r="G73" s="470"/>
      <c r="H73" s="470"/>
      <c r="I73" s="470"/>
      <c r="J73" s="471"/>
      <c r="K73" s="465" t="s">
        <v>132</v>
      </c>
      <c r="L73" s="465"/>
      <c r="M73" s="51" t="s">
        <v>429</v>
      </c>
      <c r="N73" s="466" t="s">
        <v>225</v>
      </c>
      <c r="O73" s="466"/>
      <c r="P73" s="467">
        <v>100</v>
      </c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 t="s">
        <v>130</v>
      </c>
      <c r="D74" s="288"/>
      <c r="E74" s="285" t="s">
        <v>431</v>
      </c>
      <c r="F74" s="469" t="s">
        <v>424</v>
      </c>
      <c r="G74" s="470"/>
      <c r="H74" s="470"/>
      <c r="I74" s="470"/>
      <c r="J74" s="471"/>
      <c r="K74" s="465" t="s">
        <v>114</v>
      </c>
      <c r="L74" s="465"/>
      <c r="M74" s="51" t="s">
        <v>214</v>
      </c>
      <c r="N74" s="466" t="s">
        <v>192</v>
      </c>
      <c r="O74" s="466"/>
      <c r="P74" s="467">
        <v>100</v>
      </c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 t="s">
        <v>116</v>
      </c>
      <c r="D75" s="288"/>
      <c r="E75" s="285" t="s">
        <v>259</v>
      </c>
      <c r="F75" s="469" t="s">
        <v>425</v>
      </c>
      <c r="G75" s="470"/>
      <c r="H75" s="470"/>
      <c r="I75" s="470"/>
      <c r="J75" s="471"/>
      <c r="K75" s="465">
        <v>7301</v>
      </c>
      <c r="L75" s="465"/>
      <c r="M75" s="51" t="s">
        <v>429</v>
      </c>
      <c r="N75" s="466" t="s">
        <v>196</v>
      </c>
      <c r="O75" s="466"/>
      <c r="P75" s="467">
        <v>100</v>
      </c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 t="s">
        <v>116</v>
      </c>
      <c r="D76" s="288"/>
      <c r="E76" s="285" t="s">
        <v>115</v>
      </c>
      <c r="F76" s="469" t="s">
        <v>426</v>
      </c>
      <c r="G76" s="470"/>
      <c r="H76" s="470"/>
      <c r="I76" s="470"/>
      <c r="J76" s="471"/>
      <c r="K76" s="465">
        <v>7301</v>
      </c>
      <c r="L76" s="465"/>
      <c r="M76" s="51" t="s">
        <v>429</v>
      </c>
      <c r="N76" s="466" t="s">
        <v>196</v>
      </c>
      <c r="O76" s="466"/>
      <c r="P76" s="467">
        <v>100</v>
      </c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 t="s">
        <v>116</v>
      </c>
      <c r="D77" s="288"/>
      <c r="E77" s="285" t="s">
        <v>133</v>
      </c>
      <c r="F77" s="469" t="s">
        <v>427</v>
      </c>
      <c r="G77" s="470"/>
      <c r="H77" s="470"/>
      <c r="I77" s="470"/>
      <c r="J77" s="471"/>
      <c r="K77" s="465" t="s">
        <v>132</v>
      </c>
      <c r="L77" s="465"/>
      <c r="M77" s="51" t="s">
        <v>214</v>
      </c>
      <c r="N77" s="466" t="s">
        <v>196</v>
      </c>
      <c r="O77" s="466"/>
      <c r="P77" s="467">
        <v>100</v>
      </c>
      <c r="Q77" s="467"/>
      <c r="R77" s="443" t="s">
        <v>433</v>
      </c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 t="s">
        <v>130</v>
      </c>
      <c r="D78" s="288"/>
      <c r="E78" s="285" t="s">
        <v>432</v>
      </c>
      <c r="F78" s="464" t="s">
        <v>428</v>
      </c>
      <c r="G78" s="465"/>
      <c r="H78" s="465"/>
      <c r="I78" s="465"/>
      <c r="J78" s="465"/>
      <c r="K78" s="465" t="s">
        <v>124</v>
      </c>
      <c r="L78" s="465"/>
      <c r="M78" s="51" t="s">
        <v>214</v>
      </c>
      <c r="N78" s="466" t="s">
        <v>234</v>
      </c>
      <c r="O78" s="466"/>
      <c r="P78" s="467">
        <v>200</v>
      </c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288"/>
      <c r="E79" s="285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288"/>
      <c r="E80" s="285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434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287" t="s">
        <v>2</v>
      </c>
      <c r="D82" s="287" t="s">
        <v>37</v>
      </c>
      <c r="E82" s="287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289"/>
      <c r="D83" s="289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288"/>
      <c r="D84" s="288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9">A84+1</f>
        <v>3</v>
      </c>
      <c r="B85" s="481"/>
      <c r="C85" s="288"/>
      <c r="D85" s="288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9"/>
        <v>4</v>
      </c>
      <c r="B86" s="481"/>
      <c r="C86" s="288"/>
      <c r="D86" s="288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9"/>
        <v>5</v>
      </c>
      <c r="B87" s="481"/>
      <c r="C87" s="288"/>
      <c r="D87" s="288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9"/>
        <v>6</v>
      </c>
      <c r="B88" s="481"/>
      <c r="C88" s="288"/>
      <c r="D88" s="288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9"/>
        <v>7</v>
      </c>
      <c r="B89" s="481"/>
      <c r="C89" s="288"/>
      <c r="D89" s="288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435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046F-2418-4881-A300-ED0F0F0C6E3B}">
  <sheetPr codeName="Sheet15">
    <pageSetUpPr fitToPage="1"/>
  </sheetPr>
  <dimension ref="A1:AF93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436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02" t="s">
        <v>17</v>
      </c>
      <c r="L5" s="302" t="s">
        <v>18</v>
      </c>
      <c r="M5" s="302" t="s">
        <v>19</v>
      </c>
      <c r="N5" s="30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16756</v>
      </c>
      <c r="K6" s="15">
        <f>L6+15136+17956</f>
        <v>49848</v>
      </c>
      <c r="L6" s="15">
        <f>2989*4+1200*4</f>
        <v>16756</v>
      </c>
      <c r="M6" s="15">
        <f t="shared" ref="M6:M27" si="0">L6-N6</f>
        <v>16756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20</v>
      </c>
      <c r="Q6" s="40">
        <f t="shared" ref="Q6:Q27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0.83333333333333337</v>
      </c>
      <c r="AD6" s="10">
        <f t="shared" ref="AD6:AD27" si="6">AC6*AB6*(1-O6)</f>
        <v>0.83333333333333337</v>
      </c>
      <c r="AE6" s="36">
        <f t="shared" ref="AE6:AE27" si="7">$AD$28</f>
        <v>0.32765151515151519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316</v>
      </c>
      <c r="E7" s="53" t="s">
        <v>437</v>
      </c>
      <c r="F7" s="30" t="s">
        <v>159</v>
      </c>
      <c r="G7" s="12">
        <v>1</v>
      </c>
      <c r="H7" s="13">
        <v>24</v>
      </c>
      <c r="I7" s="31">
        <v>1000</v>
      </c>
      <c r="J7" s="14">
        <v>1819</v>
      </c>
      <c r="K7" s="15">
        <f>L7</f>
        <v>1819</v>
      </c>
      <c r="L7" s="15">
        <v>1819</v>
      </c>
      <c r="M7" s="15">
        <f t="shared" si="0"/>
        <v>1819</v>
      </c>
      <c r="N7" s="15">
        <v>0</v>
      </c>
      <c r="O7" s="58">
        <f t="shared" si="1"/>
        <v>0</v>
      </c>
      <c r="P7" s="39">
        <f t="shared" si="2"/>
        <v>12</v>
      </c>
      <c r="Q7" s="40">
        <f t="shared" si="3"/>
        <v>12</v>
      </c>
      <c r="R7" s="7"/>
      <c r="S7" s="6"/>
      <c r="T7" s="16"/>
      <c r="U7" s="16"/>
      <c r="V7" s="17"/>
      <c r="W7" s="5">
        <v>3</v>
      </c>
      <c r="X7" s="16"/>
      <c r="Y7" s="16"/>
      <c r="Z7" s="16"/>
      <c r="AA7" s="18">
        <v>9</v>
      </c>
      <c r="AB7" s="8">
        <f t="shared" si="4"/>
        <v>1</v>
      </c>
      <c r="AC7" s="9">
        <f t="shared" si="5"/>
        <v>0.5</v>
      </c>
      <c r="AD7" s="10">
        <f t="shared" si="6"/>
        <v>0.5</v>
      </c>
      <c r="AE7" s="36">
        <f t="shared" si="7"/>
        <v>0.32765151515151519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130</v>
      </c>
      <c r="D8" s="52" t="s">
        <v>310</v>
      </c>
      <c r="E8" s="53" t="s">
        <v>420</v>
      </c>
      <c r="F8" s="30" t="s">
        <v>144</v>
      </c>
      <c r="G8" s="12">
        <v>1</v>
      </c>
      <c r="H8" s="13">
        <v>24</v>
      </c>
      <c r="I8" s="7">
        <v>2000</v>
      </c>
      <c r="J8" s="14">
        <v>4641</v>
      </c>
      <c r="K8" s="15">
        <f>L8</f>
        <v>4641</v>
      </c>
      <c r="L8" s="15">
        <f>2139+2502</f>
        <v>4641</v>
      </c>
      <c r="M8" s="15">
        <f t="shared" si="0"/>
        <v>4641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0.32765151515151519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259</v>
      </c>
      <c r="E9" s="53" t="s">
        <v>410</v>
      </c>
      <c r="F9" s="30" t="s">
        <v>411</v>
      </c>
      <c r="G9" s="12">
        <v>1</v>
      </c>
      <c r="H9" s="13">
        <v>24</v>
      </c>
      <c r="I9" s="7">
        <v>30000</v>
      </c>
      <c r="J9" s="14">
        <v>1588</v>
      </c>
      <c r="K9" s="15">
        <f>L9+2149</f>
        <v>3737</v>
      </c>
      <c r="L9" s="15">
        <f>1495+93</f>
        <v>1588</v>
      </c>
      <c r="M9" s="15">
        <f t="shared" si="0"/>
        <v>1588</v>
      </c>
      <c r="N9" s="15">
        <v>0</v>
      </c>
      <c r="O9" s="58">
        <f t="shared" si="1"/>
        <v>0</v>
      </c>
      <c r="P9" s="39">
        <f t="shared" si="2"/>
        <v>8</v>
      </c>
      <c r="Q9" s="40">
        <f t="shared" si="3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6">
        <f t="shared" si="7"/>
        <v>0.32765151515151519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121</v>
      </c>
      <c r="E10" s="53" t="s">
        <v>287</v>
      </c>
      <c r="F10" s="30" t="s">
        <v>132</v>
      </c>
      <c r="G10" s="33">
        <v>2</v>
      </c>
      <c r="H10" s="35">
        <v>24</v>
      </c>
      <c r="I10" s="7">
        <v>300</v>
      </c>
      <c r="J10" s="14">
        <v>300</v>
      </c>
      <c r="K10" s="15">
        <f>L10+300</f>
        <v>300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0.32765151515151519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221</v>
      </c>
      <c r="E11" s="53" t="s">
        <v>362</v>
      </c>
      <c r="F11" s="30" t="s">
        <v>220</v>
      </c>
      <c r="G11" s="33">
        <v>2</v>
      </c>
      <c r="H11" s="35">
        <v>24</v>
      </c>
      <c r="I11" s="7">
        <v>12000</v>
      </c>
      <c r="J11" s="14">
        <v>5154</v>
      </c>
      <c r="K11" s="15">
        <f>L11+8826+5154</f>
        <v>13980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0.32765151515151519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130</v>
      </c>
      <c r="D12" s="52" t="s">
        <v>251</v>
      </c>
      <c r="E12" s="53" t="s">
        <v>438</v>
      </c>
      <c r="F12" s="30" t="s">
        <v>123</v>
      </c>
      <c r="G12" s="12">
        <v>1</v>
      </c>
      <c r="H12" s="13">
        <v>22</v>
      </c>
      <c r="I12" s="31">
        <v>1000</v>
      </c>
      <c r="J12" s="5">
        <v>1067</v>
      </c>
      <c r="K12" s="15">
        <f>L12</f>
        <v>1067</v>
      </c>
      <c r="L12" s="15">
        <f>1067</f>
        <v>1067</v>
      </c>
      <c r="M12" s="15">
        <f t="shared" si="0"/>
        <v>1067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>
        <v>18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6">
        <f t="shared" si="7"/>
        <v>0.32765151515151519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323</v>
      </c>
      <c r="F13" s="30" t="s">
        <v>123</v>
      </c>
      <c r="G13" s="33">
        <v>4</v>
      </c>
      <c r="H13" s="35">
        <v>22</v>
      </c>
      <c r="I13" s="7">
        <v>250000</v>
      </c>
      <c r="J13" s="14">
        <v>11936</v>
      </c>
      <c r="K13" s="15">
        <f>L13+23364+21016+15924+26688+25520+8240</f>
        <v>132688</v>
      </c>
      <c r="L13" s="15">
        <f>2984*4</f>
        <v>11936</v>
      </c>
      <c r="M13" s="15">
        <f t="shared" si="0"/>
        <v>11936</v>
      </c>
      <c r="N13" s="15">
        <v>0</v>
      </c>
      <c r="O13" s="58">
        <f t="shared" si="1"/>
        <v>0</v>
      </c>
      <c r="P13" s="39">
        <f t="shared" si="2"/>
        <v>13</v>
      </c>
      <c r="Q13" s="40">
        <f t="shared" si="3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0.54166666666666663</v>
      </c>
      <c r="AD13" s="10">
        <f t="shared" si="6"/>
        <v>0.54166666666666663</v>
      </c>
      <c r="AE13" s="36">
        <f t="shared" si="7"/>
        <v>0.32765151515151519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231</v>
      </c>
      <c r="F14" s="30" t="s">
        <v>159</v>
      </c>
      <c r="G14" s="33">
        <v>1</v>
      </c>
      <c r="H14" s="35">
        <v>30</v>
      </c>
      <c r="I14" s="7">
        <v>100</v>
      </c>
      <c r="J14" s="5">
        <v>214</v>
      </c>
      <c r="K14" s="15">
        <f>L14+214</f>
        <v>214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0.32765151515151519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0.32765151515151519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>
        <v>3159001</v>
      </c>
      <c r="F16" s="30" t="s">
        <v>144</v>
      </c>
      <c r="G16" s="12">
        <v>1</v>
      </c>
      <c r="H16" s="13">
        <v>24</v>
      </c>
      <c r="I16" s="7">
        <v>500</v>
      </c>
      <c r="J16" s="14">
        <v>4453</v>
      </c>
      <c r="K16" s="15">
        <f>L16</f>
        <v>4453</v>
      </c>
      <c r="L16" s="15">
        <f>411+4042</f>
        <v>4453</v>
      </c>
      <c r="M16" s="15">
        <f t="shared" si="0"/>
        <v>4453</v>
      </c>
      <c r="N16" s="15">
        <v>0</v>
      </c>
      <c r="O16" s="58">
        <f t="shared" si="1"/>
        <v>0</v>
      </c>
      <c r="P16" s="39">
        <f t="shared" si="2"/>
        <v>20</v>
      </c>
      <c r="Q16" s="40">
        <f t="shared" si="3"/>
        <v>4</v>
      </c>
      <c r="R16" s="7"/>
      <c r="S16" s="6"/>
      <c r="T16" s="16">
        <v>4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0.83333333333333337</v>
      </c>
      <c r="AD16" s="10">
        <f t="shared" si="6"/>
        <v>0.83333333333333337</v>
      </c>
      <c r="AE16" s="36">
        <f t="shared" si="7"/>
        <v>0.32765151515151519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439</v>
      </c>
      <c r="E17" s="53" t="s">
        <v>440</v>
      </c>
      <c r="F17" s="30" t="s">
        <v>159</v>
      </c>
      <c r="G17" s="12">
        <v>1</v>
      </c>
      <c r="H17" s="13">
        <v>24</v>
      </c>
      <c r="I17" s="7">
        <v>2000</v>
      </c>
      <c r="J17" s="14">
        <v>4211</v>
      </c>
      <c r="K17" s="15">
        <f>L17</f>
        <v>4211</v>
      </c>
      <c r="L17" s="15">
        <f>1626+2585</f>
        <v>4211</v>
      </c>
      <c r="M17" s="15">
        <f t="shared" si="0"/>
        <v>4211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0.32765151515151519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130</v>
      </c>
      <c r="D18" s="52" t="s">
        <v>115</v>
      </c>
      <c r="E18" s="53" t="s">
        <v>419</v>
      </c>
      <c r="F18" s="30" t="s">
        <v>144</v>
      </c>
      <c r="G18" s="12">
        <v>1</v>
      </c>
      <c r="H18" s="13">
        <v>22</v>
      </c>
      <c r="I18" s="31">
        <v>2000</v>
      </c>
      <c r="J18" s="5">
        <v>3151</v>
      </c>
      <c r="K18" s="15">
        <f>L18</f>
        <v>3151</v>
      </c>
      <c r="L18" s="15">
        <f>2444+707</f>
        <v>3151</v>
      </c>
      <c r="M18" s="15">
        <f t="shared" si="0"/>
        <v>3151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7"/>
        <v>0.32765151515151519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116</v>
      </c>
      <c r="D19" s="52" t="s">
        <v>155</v>
      </c>
      <c r="E19" s="53" t="s">
        <v>390</v>
      </c>
      <c r="F19" s="30" t="s">
        <v>124</v>
      </c>
      <c r="G19" s="33">
        <v>1</v>
      </c>
      <c r="H19" s="35">
        <v>24</v>
      </c>
      <c r="I19" s="7">
        <v>1952</v>
      </c>
      <c r="J19" s="14">
        <v>2413</v>
      </c>
      <c r="K19" s="15">
        <f>L19+2413</f>
        <v>2413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0.32765151515151519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250000</v>
      </c>
      <c r="J20" s="14">
        <v>6468</v>
      </c>
      <c r="K20" s="15">
        <f>L20+16424+3460+8466+14048+14809+10420</f>
        <v>74095</v>
      </c>
      <c r="L20" s="15">
        <f>2156*3</f>
        <v>6468</v>
      </c>
      <c r="M20" s="15">
        <f t="shared" si="0"/>
        <v>6468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>
        <v>12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6">
        <f t="shared" si="7"/>
        <v>0.32765151515151519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39608</v>
      </c>
      <c r="K21" s="15">
        <f>L21+30164</f>
        <v>69772</v>
      </c>
      <c r="L21" s="15">
        <f>9902*4</f>
        <v>39608</v>
      </c>
      <c r="M21" s="15">
        <f t="shared" si="0"/>
        <v>39608</v>
      </c>
      <c r="N21" s="15">
        <v>0</v>
      </c>
      <c r="O21" s="58">
        <f t="shared" si="1"/>
        <v>0</v>
      </c>
      <c r="P21" s="39">
        <f t="shared" si="2"/>
        <v>15</v>
      </c>
      <c r="Q21" s="40">
        <f t="shared" si="3"/>
        <v>9</v>
      </c>
      <c r="R21" s="7"/>
      <c r="S21" s="6"/>
      <c r="T21" s="16"/>
      <c r="U21" s="16"/>
      <c r="V21" s="17">
        <v>9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0.625</v>
      </c>
      <c r="AD21" s="10">
        <f t="shared" si="6"/>
        <v>0.625</v>
      </c>
      <c r="AE21" s="36">
        <f t="shared" si="7"/>
        <v>0.32765151515151519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0.32765151515151519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0.32765151515151519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0.32765151515151519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0.32765151515151519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0.32765151515151519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0.32765151515151519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3626852</v>
      </c>
      <c r="J28" s="19">
        <f t="shared" si="9"/>
        <v>496687</v>
      </c>
      <c r="K28" s="20">
        <f t="shared" si="9"/>
        <v>5266229</v>
      </c>
      <c r="L28" s="21">
        <f t="shared" si="9"/>
        <v>95698</v>
      </c>
      <c r="M28" s="20">
        <f t="shared" si="9"/>
        <v>95698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173</v>
      </c>
      <c r="Q28" s="43">
        <f t="shared" si="10"/>
        <v>355</v>
      </c>
      <c r="R28" s="23">
        <f t="shared" si="10"/>
        <v>0</v>
      </c>
      <c r="S28" s="24">
        <f t="shared" si="10"/>
        <v>66</v>
      </c>
      <c r="T28" s="24">
        <f t="shared" si="10"/>
        <v>4</v>
      </c>
      <c r="U28" s="24">
        <f t="shared" si="10"/>
        <v>0</v>
      </c>
      <c r="V28" s="25">
        <f t="shared" si="10"/>
        <v>9</v>
      </c>
      <c r="W28" s="26">
        <f t="shared" si="10"/>
        <v>267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9</v>
      </c>
      <c r="AB28" s="28">
        <f>AVERAGE(AB6:AB27)</f>
        <v>0.55000000000000004</v>
      </c>
      <c r="AC28" s="4">
        <f>AVERAGE(AC6:AC27)</f>
        <v>0.32765151515151519</v>
      </c>
      <c r="AD28" s="4">
        <f>AVERAGE(AD6:AD27)</f>
        <v>0.32765151515151519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441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446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301" t="s">
        <v>46</v>
      </c>
      <c r="D57" s="301" t="s">
        <v>47</v>
      </c>
      <c r="E57" s="301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301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297" t="s">
        <v>223</v>
      </c>
      <c r="D58" s="297" t="s">
        <v>155</v>
      </c>
      <c r="E58" s="297" t="s">
        <v>325</v>
      </c>
      <c r="F58" s="437" t="s">
        <v>442</v>
      </c>
      <c r="G58" s="438"/>
      <c r="H58" s="438"/>
      <c r="I58" s="438"/>
      <c r="J58" s="438"/>
      <c r="K58" s="438"/>
      <c r="L58" s="438"/>
      <c r="M58" s="439"/>
      <c r="N58" s="300" t="s">
        <v>116</v>
      </c>
      <c r="O58" s="294" t="s">
        <v>196</v>
      </c>
      <c r="P58" s="440" t="s">
        <v>115</v>
      </c>
      <c r="Q58" s="441"/>
      <c r="R58" s="440" t="s">
        <v>447</v>
      </c>
      <c r="S58" s="442"/>
      <c r="T58" s="442"/>
      <c r="U58" s="441"/>
      <c r="V58" s="437" t="s">
        <v>122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112</v>
      </c>
      <c r="B59" s="436"/>
      <c r="C59" s="297" t="s">
        <v>148</v>
      </c>
      <c r="D59" s="297" t="s">
        <v>316</v>
      </c>
      <c r="E59" s="297" t="s">
        <v>437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300" t="s">
        <v>112</v>
      </c>
      <c r="O59" s="294" t="s">
        <v>223</v>
      </c>
      <c r="P59" s="440" t="s">
        <v>155</v>
      </c>
      <c r="Q59" s="441"/>
      <c r="R59" s="440" t="s">
        <v>325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297" t="s">
        <v>326</v>
      </c>
      <c r="D60" s="297" t="s">
        <v>129</v>
      </c>
      <c r="E60" s="297" t="s">
        <v>324</v>
      </c>
      <c r="F60" s="437" t="s">
        <v>443</v>
      </c>
      <c r="G60" s="438"/>
      <c r="H60" s="438"/>
      <c r="I60" s="438"/>
      <c r="J60" s="438"/>
      <c r="K60" s="438"/>
      <c r="L60" s="438"/>
      <c r="M60" s="439"/>
      <c r="N60" s="300" t="s">
        <v>116</v>
      </c>
      <c r="O60" s="294" t="s">
        <v>234</v>
      </c>
      <c r="P60" s="440" t="s">
        <v>259</v>
      </c>
      <c r="Q60" s="441"/>
      <c r="R60" s="440" t="s">
        <v>401</v>
      </c>
      <c r="S60" s="442"/>
      <c r="T60" s="442"/>
      <c r="U60" s="441"/>
      <c r="V60" s="437" t="s">
        <v>226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297" t="s">
        <v>233</v>
      </c>
      <c r="D61" s="297" t="s">
        <v>259</v>
      </c>
      <c r="E61" s="297" t="s">
        <v>401</v>
      </c>
      <c r="F61" s="437" t="s">
        <v>444</v>
      </c>
      <c r="G61" s="438"/>
      <c r="H61" s="438"/>
      <c r="I61" s="438"/>
      <c r="J61" s="438"/>
      <c r="K61" s="438"/>
      <c r="L61" s="438"/>
      <c r="M61" s="439"/>
      <c r="N61" s="300" t="s">
        <v>112</v>
      </c>
      <c r="O61" s="294" t="s">
        <v>326</v>
      </c>
      <c r="P61" s="440" t="s">
        <v>129</v>
      </c>
      <c r="Q61" s="441"/>
      <c r="R61" s="440" t="s">
        <v>324</v>
      </c>
      <c r="S61" s="442"/>
      <c r="T61" s="442"/>
      <c r="U61" s="441"/>
      <c r="V61" s="437" t="s">
        <v>226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130</v>
      </c>
      <c r="B62" s="436"/>
      <c r="C62" s="297" t="s">
        <v>184</v>
      </c>
      <c r="D62" s="297" t="s">
        <v>439</v>
      </c>
      <c r="E62" s="297" t="s">
        <v>440</v>
      </c>
      <c r="F62" s="437" t="s">
        <v>122</v>
      </c>
      <c r="G62" s="438"/>
      <c r="H62" s="438"/>
      <c r="I62" s="438"/>
      <c r="J62" s="438"/>
      <c r="K62" s="438"/>
      <c r="L62" s="438"/>
      <c r="M62" s="439"/>
      <c r="N62" s="300" t="s">
        <v>112</v>
      </c>
      <c r="O62" s="294" t="s">
        <v>225</v>
      </c>
      <c r="P62" s="440" t="s">
        <v>221</v>
      </c>
      <c r="Q62" s="441"/>
      <c r="R62" s="440" t="s">
        <v>448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297" t="s">
        <v>191</v>
      </c>
      <c r="D63" s="297" t="s">
        <v>310</v>
      </c>
      <c r="E63" s="297" t="s">
        <v>420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300" t="s">
        <v>112</v>
      </c>
      <c r="O63" s="294" t="s">
        <v>187</v>
      </c>
      <c r="P63" s="440" t="s">
        <v>115</v>
      </c>
      <c r="Q63" s="441"/>
      <c r="R63" s="440" t="s">
        <v>449</v>
      </c>
      <c r="S63" s="442"/>
      <c r="T63" s="442"/>
      <c r="U63" s="441"/>
      <c r="V63" s="437" t="s">
        <v>122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297" t="s">
        <v>196</v>
      </c>
      <c r="D64" s="297" t="s">
        <v>115</v>
      </c>
      <c r="E64" s="297" t="s">
        <v>419</v>
      </c>
      <c r="F64" s="437" t="s">
        <v>445</v>
      </c>
      <c r="G64" s="438"/>
      <c r="H64" s="438"/>
      <c r="I64" s="438"/>
      <c r="J64" s="438"/>
      <c r="K64" s="438"/>
      <c r="L64" s="438"/>
      <c r="M64" s="439"/>
      <c r="N64" s="300"/>
      <c r="O64" s="294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 t="s">
        <v>112</v>
      </c>
      <c r="B65" s="454"/>
      <c r="C65" s="296" t="s">
        <v>245</v>
      </c>
      <c r="D65" s="296" t="s">
        <v>259</v>
      </c>
      <c r="E65" s="297" t="s">
        <v>323</v>
      </c>
      <c r="F65" s="437" t="s">
        <v>226</v>
      </c>
      <c r="G65" s="438"/>
      <c r="H65" s="438"/>
      <c r="I65" s="438"/>
      <c r="J65" s="438"/>
      <c r="K65" s="438"/>
      <c r="L65" s="438"/>
      <c r="M65" s="439"/>
      <c r="N65" s="300"/>
      <c r="O65" s="294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296"/>
      <c r="D66" s="296"/>
      <c r="E66" s="297"/>
      <c r="F66" s="437"/>
      <c r="G66" s="438"/>
      <c r="H66" s="438"/>
      <c r="I66" s="438"/>
      <c r="J66" s="438"/>
      <c r="K66" s="438"/>
      <c r="L66" s="438"/>
      <c r="M66" s="439"/>
      <c r="N66" s="300"/>
      <c r="O66" s="294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298"/>
      <c r="D67" s="299"/>
      <c r="E67" s="298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450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295" t="s">
        <v>2</v>
      </c>
      <c r="D69" s="295" t="s">
        <v>37</v>
      </c>
      <c r="E69" s="295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295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130</v>
      </c>
      <c r="D70" s="290"/>
      <c r="E70" s="293" t="s">
        <v>432</v>
      </c>
      <c r="F70" s="464" t="s">
        <v>428</v>
      </c>
      <c r="G70" s="465"/>
      <c r="H70" s="465"/>
      <c r="I70" s="465"/>
      <c r="J70" s="465"/>
      <c r="K70" s="465" t="s">
        <v>124</v>
      </c>
      <c r="L70" s="465"/>
      <c r="M70" s="51" t="s">
        <v>214</v>
      </c>
      <c r="N70" s="466" t="s">
        <v>234</v>
      </c>
      <c r="O70" s="466"/>
      <c r="P70" s="467">
        <v>200</v>
      </c>
      <c r="Q70" s="467"/>
      <c r="R70" s="443"/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116</v>
      </c>
      <c r="D71" s="290"/>
      <c r="E71" s="293" t="s">
        <v>155</v>
      </c>
      <c r="F71" s="464" t="s">
        <v>283</v>
      </c>
      <c r="G71" s="465"/>
      <c r="H71" s="465"/>
      <c r="I71" s="465"/>
      <c r="J71" s="465"/>
      <c r="K71" s="465" t="s">
        <v>289</v>
      </c>
      <c r="L71" s="465"/>
      <c r="M71" s="51" t="s">
        <v>214</v>
      </c>
      <c r="N71" s="466" t="s">
        <v>148</v>
      </c>
      <c r="O71" s="466"/>
      <c r="P71" s="467">
        <v>200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/>
      <c r="D72" s="290"/>
      <c r="E72" s="293"/>
      <c r="F72" s="469"/>
      <c r="G72" s="470"/>
      <c r="H72" s="470"/>
      <c r="I72" s="470"/>
      <c r="J72" s="471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290"/>
      <c r="E73" s="293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290"/>
      <c r="E74" s="293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290"/>
      <c r="E75" s="293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290"/>
      <c r="E76" s="293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290"/>
      <c r="E77" s="293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290"/>
      <c r="E78" s="293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290"/>
      <c r="E79" s="293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451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292" t="s">
        <v>2</v>
      </c>
      <c r="D81" s="292" t="s">
        <v>37</v>
      </c>
      <c r="E81" s="292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291"/>
      <c r="D82" s="291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290"/>
      <c r="D83" s="290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290"/>
      <c r="D84" s="290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290"/>
      <c r="D85" s="290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290"/>
      <c r="D86" s="290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290"/>
      <c r="D87" s="290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290"/>
      <c r="D88" s="290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452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57F4-C524-4960-BF55-D35B094E678E}">
  <sheetPr codeName="Sheet16">
    <pageSetUpPr fitToPage="1"/>
  </sheetPr>
  <dimension ref="A1:AF93"/>
  <sheetViews>
    <sheetView view="pageBreakPreview" topLeftCell="A66" zoomScale="70" zoomScaleNormal="72" zoomScaleSheetLayoutView="70" workbookViewId="0">
      <selection activeCell="K76" sqref="K76:L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453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03" t="s">
        <v>17</v>
      </c>
      <c r="L5" s="303" t="s">
        <v>18</v>
      </c>
      <c r="M5" s="303" t="s">
        <v>19</v>
      </c>
      <c r="N5" s="30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15208</v>
      </c>
      <c r="K6" s="15">
        <f>L6+15136+17956+16756</f>
        <v>65056</v>
      </c>
      <c r="L6" s="15">
        <f>2509*4+1293*4</f>
        <v>15208</v>
      </c>
      <c r="M6" s="15">
        <f t="shared" ref="M6:M27" si="0">L6-N6</f>
        <v>15208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18</v>
      </c>
      <c r="Q6" s="40">
        <f t="shared" ref="Q6:Q27" si="3">SUM(R6:AA6)</f>
        <v>6</v>
      </c>
      <c r="R6" s="7"/>
      <c r="S6" s="6">
        <v>6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0.75</v>
      </c>
      <c r="AD6" s="10">
        <f t="shared" ref="AD6:AD27" si="6">AC6*AB6*(1-O6)</f>
        <v>0.75</v>
      </c>
      <c r="AE6" s="36">
        <f t="shared" ref="AE6:AE27" si="7">$AD$28</f>
        <v>0.375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155</v>
      </c>
      <c r="E7" s="53" t="s">
        <v>454</v>
      </c>
      <c r="F7" s="30" t="s">
        <v>153</v>
      </c>
      <c r="G7" s="12">
        <v>1</v>
      </c>
      <c r="H7" s="13">
        <v>24</v>
      </c>
      <c r="I7" s="31">
        <v>26000</v>
      </c>
      <c r="J7" s="14">
        <v>4063</v>
      </c>
      <c r="K7" s="15">
        <f>L7</f>
        <v>4063</v>
      </c>
      <c r="L7" s="15">
        <f>1394+2669</f>
        <v>4063</v>
      </c>
      <c r="M7" s="15">
        <f t="shared" si="0"/>
        <v>4063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0.375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130</v>
      </c>
      <c r="D8" s="52" t="s">
        <v>310</v>
      </c>
      <c r="E8" s="53" t="s">
        <v>420</v>
      </c>
      <c r="F8" s="30" t="s">
        <v>144</v>
      </c>
      <c r="G8" s="12">
        <v>1</v>
      </c>
      <c r="H8" s="13">
        <v>24</v>
      </c>
      <c r="I8" s="7">
        <v>2000</v>
      </c>
      <c r="J8" s="14">
        <v>4641</v>
      </c>
      <c r="K8" s="15">
        <f>L8+4641</f>
        <v>4641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259</v>
      </c>
      <c r="E9" s="53" t="s">
        <v>410</v>
      </c>
      <c r="F9" s="30" t="s">
        <v>411</v>
      </c>
      <c r="G9" s="12">
        <v>1</v>
      </c>
      <c r="H9" s="13">
        <v>24</v>
      </c>
      <c r="I9" s="7">
        <v>30000</v>
      </c>
      <c r="J9" s="14">
        <v>1588</v>
      </c>
      <c r="K9" s="15">
        <f>L9+2149+1588</f>
        <v>3737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>
        <v>24</v>
      </c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121</v>
      </c>
      <c r="E10" s="53" t="s">
        <v>287</v>
      </c>
      <c r="F10" s="30" t="s">
        <v>132</v>
      </c>
      <c r="G10" s="33">
        <v>2</v>
      </c>
      <c r="H10" s="35">
        <v>24</v>
      </c>
      <c r="I10" s="7">
        <v>300</v>
      </c>
      <c r="J10" s="14">
        <v>300</v>
      </c>
      <c r="K10" s="15">
        <f>L10+300</f>
        <v>300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221</v>
      </c>
      <c r="E11" s="53" t="s">
        <v>448</v>
      </c>
      <c r="F11" s="30" t="s">
        <v>220</v>
      </c>
      <c r="G11" s="33">
        <v>2</v>
      </c>
      <c r="H11" s="35">
        <v>24</v>
      </c>
      <c r="I11" s="7">
        <v>13000</v>
      </c>
      <c r="J11" s="14">
        <v>7496</v>
      </c>
      <c r="K11" s="15">
        <f>L11</f>
        <v>7496</v>
      </c>
      <c r="L11" s="15">
        <f>750*2+2998*2</f>
        <v>7496</v>
      </c>
      <c r="M11" s="15">
        <f t="shared" si="0"/>
        <v>7496</v>
      </c>
      <c r="N11" s="15">
        <v>0</v>
      </c>
      <c r="O11" s="58">
        <f t="shared" si="1"/>
        <v>0</v>
      </c>
      <c r="P11" s="39">
        <f t="shared" si="2"/>
        <v>18</v>
      </c>
      <c r="Q11" s="40">
        <f t="shared" si="3"/>
        <v>6</v>
      </c>
      <c r="R11" s="7"/>
      <c r="S11" s="6">
        <v>6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0.75</v>
      </c>
      <c r="AD11" s="10">
        <f t="shared" si="6"/>
        <v>0.75</v>
      </c>
      <c r="AE11" s="36">
        <f t="shared" si="7"/>
        <v>0.375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455</v>
      </c>
      <c r="F12" s="30" t="s">
        <v>123</v>
      </c>
      <c r="G12" s="12">
        <v>1</v>
      </c>
      <c r="H12" s="13">
        <v>22</v>
      </c>
      <c r="I12" s="31">
        <v>60000</v>
      </c>
      <c r="J12" s="5">
        <v>5056</v>
      </c>
      <c r="K12" s="15">
        <f>L12</f>
        <v>5056</v>
      </c>
      <c r="L12" s="15">
        <f>2377+2679</f>
        <v>5056</v>
      </c>
      <c r="M12" s="15">
        <f t="shared" si="0"/>
        <v>5056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323</v>
      </c>
      <c r="F13" s="30" t="s">
        <v>123</v>
      </c>
      <c r="G13" s="33">
        <v>4</v>
      </c>
      <c r="H13" s="35">
        <v>22</v>
      </c>
      <c r="I13" s="7">
        <v>250000</v>
      </c>
      <c r="J13" s="14">
        <v>14412</v>
      </c>
      <c r="K13" s="15">
        <f>L13+23364+21016+15924+26688+25520+8240+11936</f>
        <v>147100</v>
      </c>
      <c r="L13" s="15">
        <f>2404*4+1199*4</f>
        <v>14412</v>
      </c>
      <c r="M13" s="15">
        <f t="shared" si="0"/>
        <v>14412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0.375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456</v>
      </c>
      <c r="F14" s="30" t="s">
        <v>457</v>
      </c>
      <c r="G14" s="33">
        <v>1</v>
      </c>
      <c r="H14" s="35">
        <v>30</v>
      </c>
      <c r="I14" s="7">
        <v>300</v>
      </c>
      <c r="J14" s="5">
        <v>560</v>
      </c>
      <c r="K14" s="15">
        <f>L14</f>
        <v>560</v>
      </c>
      <c r="L14" s="15">
        <v>560</v>
      </c>
      <c r="M14" s="15">
        <f t="shared" si="0"/>
        <v>560</v>
      </c>
      <c r="N14" s="15">
        <v>0</v>
      </c>
      <c r="O14" s="58">
        <f t="shared" si="1"/>
        <v>0</v>
      </c>
      <c r="P14" s="39">
        <f t="shared" si="2"/>
        <v>7</v>
      </c>
      <c r="Q14" s="40">
        <f t="shared" si="3"/>
        <v>17</v>
      </c>
      <c r="R14" s="7"/>
      <c r="S14" s="6"/>
      <c r="T14" s="16"/>
      <c r="U14" s="16"/>
      <c r="V14" s="17"/>
      <c r="W14" s="5">
        <v>17</v>
      </c>
      <c r="X14" s="16"/>
      <c r="Y14" s="16"/>
      <c r="Z14" s="16"/>
      <c r="AA14" s="18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6">
        <f t="shared" si="7"/>
        <v>0.375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0.375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>
        <v>3159001</v>
      </c>
      <c r="F16" s="30" t="s">
        <v>144</v>
      </c>
      <c r="G16" s="12">
        <v>1</v>
      </c>
      <c r="H16" s="13">
        <v>24</v>
      </c>
      <c r="I16" s="7">
        <v>500</v>
      </c>
      <c r="J16" s="14">
        <v>4449</v>
      </c>
      <c r="K16" s="15">
        <f>L16+4453</f>
        <v>8902</v>
      </c>
      <c r="L16" s="15">
        <f>4449</f>
        <v>4449</v>
      </c>
      <c r="M16" s="15">
        <f t="shared" si="0"/>
        <v>4449</v>
      </c>
      <c r="N16" s="15">
        <v>0</v>
      </c>
      <c r="O16" s="58">
        <f t="shared" si="1"/>
        <v>0</v>
      </c>
      <c r="P16" s="39">
        <f t="shared" si="2"/>
        <v>15</v>
      </c>
      <c r="Q16" s="40">
        <f t="shared" si="3"/>
        <v>9</v>
      </c>
      <c r="R16" s="7"/>
      <c r="S16" s="6"/>
      <c r="T16" s="16"/>
      <c r="U16" s="16"/>
      <c r="V16" s="17"/>
      <c r="W16" s="5">
        <v>9</v>
      </c>
      <c r="X16" s="16"/>
      <c r="Y16" s="16"/>
      <c r="Z16" s="16"/>
      <c r="AA16" s="18"/>
      <c r="AB16" s="8">
        <f t="shared" si="4"/>
        <v>1</v>
      </c>
      <c r="AC16" s="9">
        <f t="shared" si="5"/>
        <v>0.625</v>
      </c>
      <c r="AD16" s="10">
        <f t="shared" si="6"/>
        <v>0.625</v>
      </c>
      <c r="AE16" s="36">
        <f t="shared" si="7"/>
        <v>0.375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439</v>
      </c>
      <c r="E17" s="53" t="s">
        <v>440</v>
      </c>
      <c r="F17" s="30" t="s">
        <v>159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116</v>
      </c>
      <c r="D18" s="52" t="s">
        <v>115</v>
      </c>
      <c r="E18" s="53" t="s">
        <v>447</v>
      </c>
      <c r="F18" s="30" t="s">
        <v>144</v>
      </c>
      <c r="G18" s="12">
        <v>1</v>
      </c>
      <c r="H18" s="13">
        <v>22</v>
      </c>
      <c r="I18" s="31">
        <v>1000</v>
      </c>
      <c r="J18" s="5">
        <v>5708</v>
      </c>
      <c r="K18" s="15">
        <f>L18</f>
        <v>5708</v>
      </c>
      <c r="L18" s="15">
        <f>2689+3019</f>
        <v>5708</v>
      </c>
      <c r="M18" s="15">
        <f t="shared" si="0"/>
        <v>5708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116</v>
      </c>
      <c r="D19" s="52" t="s">
        <v>259</v>
      </c>
      <c r="E19" s="53" t="s">
        <v>410</v>
      </c>
      <c r="F19" s="30" t="s">
        <v>411</v>
      </c>
      <c r="G19" s="12">
        <v>1</v>
      </c>
      <c r="H19" s="13">
        <v>24</v>
      </c>
      <c r="I19" s="7">
        <v>30000</v>
      </c>
      <c r="J19" s="14">
        <v>3170</v>
      </c>
      <c r="K19" s="15">
        <f>L19+2149+1588</f>
        <v>6907</v>
      </c>
      <c r="L19" s="15">
        <f>1162+2008</f>
        <v>3170</v>
      </c>
      <c r="M19" s="15">
        <f t="shared" si="0"/>
        <v>3170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0.375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250000</v>
      </c>
      <c r="J20" s="14">
        <v>20028</v>
      </c>
      <c r="K20" s="15">
        <f>L20+16424+3460+8466+14048+14809+10420+6468</f>
        <v>94123</v>
      </c>
      <c r="L20" s="15">
        <f>1671*4+3336*4</f>
        <v>20028</v>
      </c>
      <c r="M20" s="15">
        <f t="shared" si="0"/>
        <v>20028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0.375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36320</v>
      </c>
      <c r="K21" s="15">
        <f>L21+30164+39608</f>
        <v>106092</v>
      </c>
      <c r="L21" s="15">
        <f>9080*4</f>
        <v>36320</v>
      </c>
      <c r="M21" s="15">
        <f t="shared" si="0"/>
        <v>36320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0.375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0.375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0.375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133</v>
      </c>
      <c r="E24" s="53" t="s">
        <v>136</v>
      </c>
      <c r="F24" s="12" t="s">
        <v>132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0.375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0.375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0.375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145</v>
      </c>
      <c r="D27" s="52"/>
      <c r="E27" s="53" t="s">
        <v>158</v>
      </c>
      <c r="F27" s="12" t="s">
        <v>146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0.375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9">SUM(I6:I27)</f>
        <v>3739100</v>
      </c>
      <c r="J28" s="19">
        <f t="shared" si="9"/>
        <v>520118</v>
      </c>
      <c r="K28" s="20">
        <f t="shared" si="9"/>
        <v>5363792</v>
      </c>
      <c r="L28" s="21">
        <f t="shared" si="9"/>
        <v>116470</v>
      </c>
      <c r="M28" s="20">
        <f t="shared" si="9"/>
        <v>116470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198</v>
      </c>
      <c r="Q28" s="43">
        <f t="shared" si="10"/>
        <v>330</v>
      </c>
      <c r="R28" s="23">
        <f t="shared" si="10"/>
        <v>0</v>
      </c>
      <c r="S28" s="24">
        <f t="shared" si="10"/>
        <v>30</v>
      </c>
      <c r="T28" s="24">
        <f t="shared" si="10"/>
        <v>0</v>
      </c>
      <c r="U28" s="24">
        <f t="shared" si="10"/>
        <v>0</v>
      </c>
      <c r="V28" s="25">
        <f t="shared" si="10"/>
        <v>34</v>
      </c>
      <c r="W28" s="26">
        <f t="shared" si="10"/>
        <v>266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0.55000000000000004</v>
      </c>
      <c r="AC28" s="4">
        <f>AVERAGE(AC6:AC27)</f>
        <v>0.375</v>
      </c>
      <c r="AD28" s="4">
        <f>AVERAGE(AD6:AD27)</f>
        <v>0.375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458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461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304" t="s">
        <v>46</v>
      </c>
      <c r="D57" s="304" t="s">
        <v>47</v>
      </c>
      <c r="E57" s="304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304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306" t="s">
        <v>223</v>
      </c>
      <c r="D58" s="306" t="s">
        <v>155</v>
      </c>
      <c r="E58" s="306" t="s">
        <v>325</v>
      </c>
      <c r="F58" s="437" t="s">
        <v>459</v>
      </c>
      <c r="G58" s="438"/>
      <c r="H58" s="438"/>
      <c r="I58" s="438"/>
      <c r="J58" s="438"/>
      <c r="K58" s="438"/>
      <c r="L58" s="438"/>
      <c r="M58" s="439"/>
      <c r="N58" s="305" t="s">
        <v>116</v>
      </c>
      <c r="O58" s="312" t="s">
        <v>196</v>
      </c>
      <c r="P58" s="440" t="s">
        <v>115</v>
      </c>
      <c r="Q58" s="441"/>
      <c r="R58" s="440" t="s">
        <v>447</v>
      </c>
      <c r="S58" s="442"/>
      <c r="T58" s="442"/>
      <c r="U58" s="441"/>
      <c r="V58" s="437" t="s">
        <v>226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112</v>
      </c>
      <c r="B59" s="436"/>
      <c r="C59" s="306" t="s">
        <v>148</v>
      </c>
      <c r="D59" s="306" t="s">
        <v>155</v>
      </c>
      <c r="E59" s="306" t="s">
        <v>454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305" t="s">
        <v>116</v>
      </c>
      <c r="O59" s="312" t="s">
        <v>234</v>
      </c>
      <c r="P59" s="440" t="s">
        <v>259</v>
      </c>
      <c r="Q59" s="441"/>
      <c r="R59" s="440" t="s">
        <v>401</v>
      </c>
      <c r="S59" s="442"/>
      <c r="T59" s="442"/>
      <c r="U59" s="441"/>
      <c r="V59" s="437" t="s">
        <v>226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306" t="s">
        <v>326</v>
      </c>
      <c r="D60" s="306" t="s">
        <v>129</v>
      </c>
      <c r="E60" s="306" t="s">
        <v>324</v>
      </c>
      <c r="F60" s="437" t="s">
        <v>226</v>
      </c>
      <c r="G60" s="438"/>
      <c r="H60" s="438"/>
      <c r="I60" s="438"/>
      <c r="J60" s="438"/>
      <c r="K60" s="438"/>
      <c r="L60" s="438"/>
      <c r="M60" s="439"/>
      <c r="N60" s="305" t="s">
        <v>112</v>
      </c>
      <c r="O60" s="312" t="s">
        <v>148</v>
      </c>
      <c r="P60" s="440" t="s">
        <v>316</v>
      </c>
      <c r="Q60" s="441"/>
      <c r="R60" s="440" t="s">
        <v>462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306" t="s">
        <v>234</v>
      </c>
      <c r="D61" s="306" t="s">
        <v>259</v>
      </c>
      <c r="E61" s="306" t="s">
        <v>401</v>
      </c>
      <c r="F61" s="437" t="s">
        <v>298</v>
      </c>
      <c r="G61" s="438"/>
      <c r="H61" s="438"/>
      <c r="I61" s="438"/>
      <c r="J61" s="438"/>
      <c r="K61" s="438"/>
      <c r="L61" s="438"/>
      <c r="M61" s="439"/>
      <c r="N61" s="305"/>
      <c r="O61" s="312"/>
      <c r="P61" s="440"/>
      <c r="Q61" s="441"/>
      <c r="R61" s="440"/>
      <c r="S61" s="442"/>
      <c r="T61" s="442"/>
      <c r="U61" s="441"/>
      <c r="V61" s="437"/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116</v>
      </c>
      <c r="B62" s="436"/>
      <c r="C62" s="306" t="s">
        <v>196</v>
      </c>
      <c r="D62" s="306" t="s">
        <v>115</v>
      </c>
      <c r="E62" s="306" t="s">
        <v>460</v>
      </c>
      <c r="F62" s="437" t="s">
        <v>318</v>
      </c>
      <c r="G62" s="438"/>
      <c r="H62" s="438"/>
      <c r="I62" s="438"/>
      <c r="J62" s="438"/>
      <c r="K62" s="438"/>
      <c r="L62" s="438"/>
      <c r="M62" s="439"/>
      <c r="N62" s="305"/>
      <c r="O62" s="312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306" t="s">
        <v>225</v>
      </c>
      <c r="D63" s="306" t="s">
        <v>221</v>
      </c>
      <c r="E63" s="306" t="s">
        <v>448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305"/>
      <c r="O63" s="312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116</v>
      </c>
      <c r="B64" s="436"/>
      <c r="C64" s="306" t="s">
        <v>154</v>
      </c>
      <c r="D64" s="306" t="s">
        <v>115</v>
      </c>
      <c r="E64" s="306" t="s">
        <v>455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305"/>
      <c r="O64" s="312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 t="s">
        <v>112</v>
      </c>
      <c r="B65" s="454"/>
      <c r="C65" s="309" t="s">
        <v>187</v>
      </c>
      <c r="D65" s="309" t="s">
        <v>115</v>
      </c>
      <c r="E65" s="306" t="s">
        <v>449</v>
      </c>
      <c r="F65" s="437" t="s">
        <v>122</v>
      </c>
      <c r="G65" s="438"/>
      <c r="H65" s="438"/>
      <c r="I65" s="438"/>
      <c r="J65" s="438"/>
      <c r="K65" s="438"/>
      <c r="L65" s="438"/>
      <c r="M65" s="439"/>
      <c r="N65" s="305"/>
      <c r="O65" s="312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309"/>
      <c r="D66" s="309"/>
      <c r="E66" s="306"/>
      <c r="F66" s="437"/>
      <c r="G66" s="438"/>
      <c r="H66" s="438"/>
      <c r="I66" s="438"/>
      <c r="J66" s="438"/>
      <c r="K66" s="438"/>
      <c r="L66" s="438"/>
      <c r="M66" s="439"/>
      <c r="N66" s="305"/>
      <c r="O66" s="312"/>
      <c r="P66" s="436"/>
      <c r="Q66" s="436"/>
      <c r="R66" s="436"/>
      <c r="S66" s="436"/>
      <c r="T66" s="436"/>
      <c r="U66" s="436"/>
      <c r="V66" s="443"/>
      <c r="W66" s="443"/>
      <c r="X66" s="443"/>
      <c r="Y66" s="443"/>
      <c r="Z66" s="443"/>
      <c r="AA66" s="443"/>
      <c r="AB66" s="443"/>
      <c r="AC66" s="443"/>
      <c r="AD66" s="444"/>
      <c r="AF66" s="84">
        <f>8*3000</f>
        <v>24000</v>
      </c>
    </row>
    <row r="67" spans="1:32" ht="27" customHeight="1" thickBot="1">
      <c r="A67" s="445"/>
      <c r="B67" s="446"/>
      <c r="C67" s="307"/>
      <c r="D67" s="308"/>
      <c r="E67" s="307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463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310" t="s">
        <v>2</v>
      </c>
      <c r="D69" s="310" t="s">
        <v>37</v>
      </c>
      <c r="E69" s="310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310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130</v>
      </c>
      <c r="D70" s="314"/>
      <c r="E70" s="311" t="s">
        <v>133</v>
      </c>
      <c r="F70" s="464" t="s">
        <v>330</v>
      </c>
      <c r="G70" s="465"/>
      <c r="H70" s="465"/>
      <c r="I70" s="465"/>
      <c r="J70" s="465"/>
      <c r="K70" s="465" t="s">
        <v>289</v>
      </c>
      <c r="L70" s="465"/>
      <c r="M70" s="51" t="s">
        <v>214</v>
      </c>
      <c r="N70" s="466" t="s">
        <v>184</v>
      </c>
      <c r="O70" s="466"/>
      <c r="P70" s="467">
        <v>100</v>
      </c>
      <c r="Q70" s="467"/>
      <c r="R70" s="443" t="s">
        <v>464</v>
      </c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112</v>
      </c>
      <c r="D71" s="314"/>
      <c r="E71" s="311" t="s">
        <v>221</v>
      </c>
      <c r="F71" s="464" t="s">
        <v>448</v>
      </c>
      <c r="G71" s="465"/>
      <c r="H71" s="465"/>
      <c r="I71" s="465"/>
      <c r="J71" s="465"/>
      <c r="K71" s="465" t="s">
        <v>220</v>
      </c>
      <c r="L71" s="465"/>
      <c r="M71" s="51" t="s">
        <v>214</v>
      </c>
      <c r="N71" s="466" t="s">
        <v>225</v>
      </c>
      <c r="O71" s="466"/>
      <c r="P71" s="467">
        <v>100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/>
      <c r="D72" s="314"/>
      <c r="E72" s="311"/>
      <c r="F72" s="469"/>
      <c r="G72" s="470"/>
      <c r="H72" s="470"/>
      <c r="I72" s="470"/>
      <c r="J72" s="471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314"/>
      <c r="E73" s="311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314"/>
      <c r="E74" s="311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314"/>
      <c r="E75" s="311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314"/>
      <c r="E76" s="311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314"/>
      <c r="E77" s="311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314"/>
      <c r="E78" s="311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314"/>
      <c r="E79" s="311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465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313" t="s">
        <v>2</v>
      </c>
      <c r="D81" s="313" t="s">
        <v>37</v>
      </c>
      <c r="E81" s="313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315"/>
      <c r="D82" s="315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314"/>
      <c r="D83" s="314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11">A83+1</f>
        <v>3</v>
      </c>
      <c r="B84" s="481"/>
      <c r="C84" s="314"/>
      <c r="D84" s="314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11"/>
        <v>4</v>
      </c>
      <c r="B85" s="481"/>
      <c r="C85" s="314"/>
      <c r="D85" s="314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5</v>
      </c>
      <c r="B86" s="481"/>
      <c r="C86" s="314"/>
      <c r="D86" s="314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6</v>
      </c>
      <c r="B87" s="481"/>
      <c r="C87" s="314"/>
      <c r="D87" s="314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7</v>
      </c>
      <c r="B88" s="481"/>
      <c r="C88" s="314"/>
      <c r="D88" s="314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466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9457-F3AF-4B1C-B823-B7D37CB5B158}">
  <sheetPr codeName="Sheet17">
    <pageSetUpPr fitToPage="1"/>
  </sheetPr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467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28" t="s">
        <v>17</v>
      </c>
      <c r="L5" s="328" t="s">
        <v>18</v>
      </c>
      <c r="M5" s="328" t="s">
        <v>19</v>
      </c>
      <c r="N5" s="32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17656</v>
      </c>
      <c r="K6" s="15">
        <f>L6+15136+17956+16756+15208</f>
        <v>82712</v>
      </c>
      <c r="L6" s="15">
        <f>3316*4+1098*4</f>
        <v>17656</v>
      </c>
      <c r="M6" s="15">
        <f t="shared" ref="M6:M28" si="0">L6-N6</f>
        <v>17656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20</v>
      </c>
      <c r="Q6" s="40">
        <f t="shared" ref="Q6:Q28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0.83333333333333337</v>
      </c>
      <c r="AD6" s="10">
        <f t="shared" ref="AD6:AD28" si="6">AC6*AB6*(1-O6)</f>
        <v>0.83333333333333337</v>
      </c>
      <c r="AE6" s="36">
        <f>$AD$29</f>
        <v>0.36594202898550721</v>
      </c>
      <c r="AF6" s="84">
        <f t="shared" ref="AF6:AF28" si="7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316</v>
      </c>
      <c r="E7" s="53" t="s">
        <v>462</v>
      </c>
      <c r="F7" s="30" t="s">
        <v>153</v>
      </c>
      <c r="G7" s="12">
        <v>1</v>
      </c>
      <c r="H7" s="13">
        <v>24</v>
      </c>
      <c r="I7" s="31">
        <v>6000</v>
      </c>
      <c r="J7" s="14">
        <v>5985</v>
      </c>
      <c r="K7" s="15">
        <f>L7</f>
        <v>5985</v>
      </c>
      <c r="L7" s="15">
        <f>2785+3200</f>
        <v>5985</v>
      </c>
      <c r="M7" s="15">
        <f t="shared" si="0"/>
        <v>5985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>$AD$29</f>
        <v>0.36594202898550721</v>
      </c>
      <c r="AF7" s="84">
        <f t="shared" si="7"/>
        <v>2</v>
      </c>
    </row>
    <row r="8" spans="1:32" ht="27" customHeight="1">
      <c r="A8" s="112">
        <v>3</v>
      </c>
      <c r="B8" s="11" t="s">
        <v>57</v>
      </c>
      <c r="C8" s="34" t="s">
        <v>112</v>
      </c>
      <c r="D8" s="52" t="s">
        <v>115</v>
      </c>
      <c r="E8" s="53" t="s">
        <v>400</v>
      </c>
      <c r="F8" s="30" t="s">
        <v>409</v>
      </c>
      <c r="G8" s="12">
        <v>1</v>
      </c>
      <c r="H8" s="13">
        <v>24</v>
      </c>
      <c r="I8" s="7">
        <v>100</v>
      </c>
      <c r="J8" s="14">
        <v>100</v>
      </c>
      <c r="K8" s="15">
        <f>L8</f>
        <v>100</v>
      </c>
      <c r="L8" s="15">
        <v>100</v>
      </c>
      <c r="M8" s="15">
        <f t="shared" si="0"/>
        <v>100</v>
      </c>
      <c r="N8" s="15">
        <v>0</v>
      </c>
      <c r="O8" s="58">
        <f t="shared" si="1"/>
        <v>0</v>
      </c>
      <c r="P8" s="39">
        <f t="shared" si="2"/>
        <v>3</v>
      </c>
      <c r="Q8" s="40">
        <f t="shared" si="3"/>
        <v>21</v>
      </c>
      <c r="R8" s="7"/>
      <c r="S8" s="6">
        <v>2</v>
      </c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0.125</v>
      </c>
      <c r="AD8" s="10">
        <f t="shared" si="6"/>
        <v>0.125</v>
      </c>
      <c r="AE8" s="36">
        <f t="shared" ref="AE8:AE9" si="8">$AD$29</f>
        <v>0.36594202898550721</v>
      </c>
      <c r="AF8" s="84">
        <f t="shared" si="7"/>
        <v>3</v>
      </c>
    </row>
    <row r="9" spans="1:32" ht="27" customHeight="1">
      <c r="A9" s="112">
        <v>3</v>
      </c>
      <c r="B9" s="11" t="s">
        <v>57</v>
      </c>
      <c r="C9" s="34" t="s">
        <v>112</v>
      </c>
      <c r="D9" s="52" t="s">
        <v>115</v>
      </c>
      <c r="E9" s="53" t="s">
        <v>399</v>
      </c>
      <c r="F9" s="30" t="s">
        <v>409</v>
      </c>
      <c r="G9" s="12">
        <v>1</v>
      </c>
      <c r="H9" s="13">
        <v>24</v>
      </c>
      <c r="I9" s="7">
        <v>100</v>
      </c>
      <c r="J9" s="14">
        <v>100</v>
      </c>
      <c r="K9" s="15">
        <f>L9</f>
        <v>100</v>
      </c>
      <c r="L9" s="15">
        <v>100</v>
      </c>
      <c r="M9" s="15">
        <f t="shared" si="0"/>
        <v>100</v>
      </c>
      <c r="N9" s="15">
        <v>0</v>
      </c>
      <c r="O9" s="58">
        <f t="shared" si="1"/>
        <v>0</v>
      </c>
      <c r="P9" s="39">
        <f t="shared" si="2"/>
        <v>3</v>
      </c>
      <c r="Q9" s="40">
        <f t="shared" si="3"/>
        <v>21</v>
      </c>
      <c r="R9" s="7"/>
      <c r="S9" s="6"/>
      <c r="T9" s="16"/>
      <c r="U9" s="16"/>
      <c r="V9" s="17"/>
      <c r="W9" s="5">
        <v>21</v>
      </c>
      <c r="X9" s="16"/>
      <c r="Y9" s="16"/>
      <c r="Z9" s="16"/>
      <c r="AA9" s="18"/>
      <c r="AB9" s="8">
        <f t="shared" si="4"/>
        <v>1</v>
      </c>
      <c r="AC9" s="9">
        <f t="shared" si="5"/>
        <v>0.125</v>
      </c>
      <c r="AD9" s="10">
        <f t="shared" si="6"/>
        <v>0.125</v>
      </c>
      <c r="AE9" s="36">
        <f t="shared" si="8"/>
        <v>0.36594202898550721</v>
      </c>
      <c r="AF9" s="84">
        <f t="shared" si="7"/>
        <v>3</v>
      </c>
    </row>
    <row r="10" spans="1:32" ht="27" customHeight="1">
      <c r="A10" s="96">
        <v>4</v>
      </c>
      <c r="B10" s="11" t="s">
        <v>57</v>
      </c>
      <c r="C10" s="34" t="s">
        <v>468</v>
      </c>
      <c r="D10" s="52" t="s">
        <v>259</v>
      </c>
      <c r="E10" s="53" t="s">
        <v>260</v>
      </c>
      <c r="F10" s="30" t="s">
        <v>144</v>
      </c>
      <c r="G10" s="12">
        <v>2</v>
      </c>
      <c r="H10" s="13">
        <v>24</v>
      </c>
      <c r="I10" s="7">
        <v>4000</v>
      </c>
      <c r="J10" s="14">
        <v>5056</v>
      </c>
      <c r="K10" s="15">
        <f>L10</f>
        <v>5056</v>
      </c>
      <c r="L10" s="15">
        <f>312*2+2216*2</f>
        <v>5056</v>
      </c>
      <c r="M10" s="15">
        <f t="shared" si="0"/>
        <v>5056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/>
      <c r="T10" s="16">
        <v>8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 t="shared" si="6"/>
        <v>0.66666666666666663</v>
      </c>
      <c r="AE10" s="36">
        <f t="shared" ref="AE10:AE28" si="9">$AD$29</f>
        <v>0.36594202898550721</v>
      </c>
      <c r="AF10" s="84">
        <f t="shared" si="7"/>
        <v>4</v>
      </c>
    </row>
    <row r="11" spans="1:32" ht="27" customHeight="1">
      <c r="A11" s="96">
        <v>5</v>
      </c>
      <c r="B11" s="11" t="s">
        <v>57</v>
      </c>
      <c r="C11" s="11" t="s">
        <v>116</v>
      </c>
      <c r="D11" s="52" t="s">
        <v>121</v>
      </c>
      <c r="E11" s="53" t="s">
        <v>287</v>
      </c>
      <c r="F11" s="30" t="s">
        <v>132</v>
      </c>
      <c r="G11" s="33">
        <v>2</v>
      </c>
      <c r="H11" s="35">
        <v>24</v>
      </c>
      <c r="I11" s="7">
        <v>300</v>
      </c>
      <c r="J11" s="14">
        <v>300</v>
      </c>
      <c r="K11" s="15">
        <f>L11+300</f>
        <v>300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9"/>
        <v>0.36594202898550721</v>
      </c>
      <c r="AF11" s="84">
        <f t="shared" si="7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221</v>
      </c>
      <c r="E12" s="53" t="s">
        <v>448</v>
      </c>
      <c r="F12" s="30" t="s">
        <v>220</v>
      </c>
      <c r="G12" s="33">
        <v>2</v>
      </c>
      <c r="H12" s="35">
        <v>24</v>
      </c>
      <c r="I12" s="7">
        <v>13000</v>
      </c>
      <c r="J12" s="14">
        <v>7306</v>
      </c>
      <c r="K12" s="15">
        <f>L12+7496</f>
        <v>14802</v>
      </c>
      <c r="L12" s="15">
        <f>2899*2+754*2</f>
        <v>7306</v>
      </c>
      <c r="M12" s="15">
        <f t="shared" si="0"/>
        <v>7306</v>
      </c>
      <c r="N12" s="15">
        <v>0</v>
      </c>
      <c r="O12" s="58">
        <f t="shared" si="1"/>
        <v>0</v>
      </c>
      <c r="P12" s="39">
        <f t="shared" si="2"/>
        <v>17</v>
      </c>
      <c r="Q12" s="40">
        <f t="shared" si="3"/>
        <v>7</v>
      </c>
      <c r="R12" s="7"/>
      <c r="S12" s="6"/>
      <c r="T12" s="16"/>
      <c r="U12" s="16"/>
      <c r="V12" s="17"/>
      <c r="W12" s="5">
        <v>7</v>
      </c>
      <c r="X12" s="16"/>
      <c r="Y12" s="16"/>
      <c r="Z12" s="16"/>
      <c r="AA12" s="18"/>
      <c r="AB12" s="8">
        <f t="shared" si="4"/>
        <v>1</v>
      </c>
      <c r="AC12" s="9">
        <f t="shared" si="5"/>
        <v>0.70833333333333337</v>
      </c>
      <c r="AD12" s="10">
        <f t="shared" si="6"/>
        <v>0.70833333333333337</v>
      </c>
      <c r="AE12" s="36">
        <f t="shared" si="9"/>
        <v>0.36594202898550721</v>
      </c>
      <c r="AF12" s="84">
        <f t="shared" si="7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455</v>
      </c>
      <c r="F13" s="30" t="s">
        <v>123</v>
      </c>
      <c r="G13" s="12">
        <v>1</v>
      </c>
      <c r="H13" s="13">
        <v>22</v>
      </c>
      <c r="I13" s="31">
        <v>60000</v>
      </c>
      <c r="J13" s="5">
        <v>5299</v>
      </c>
      <c r="K13" s="15">
        <f>L13+5056</f>
        <v>10355</v>
      </c>
      <c r="L13" s="15">
        <f>2611+2688</f>
        <v>5299</v>
      </c>
      <c r="M13" s="15">
        <f t="shared" si="0"/>
        <v>5299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9"/>
        <v>0.36594202898550721</v>
      </c>
      <c r="AF13" s="84">
        <f t="shared" si="7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259</v>
      </c>
      <c r="E14" s="53" t="s">
        <v>323</v>
      </c>
      <c r="F14" s="30" t="s">
        <v>123</v>
      </c>
      <c r="G14" s="33">
        <v>4</v>
      </c>
      <c r="H14" s="35">
        <v>22</v>
      </c>
      <c r="I14" s="7">
        <v>250000</v>
      </c>
      <c r="J14" s="14">
        <v>25896</v>
      </c>
      <c r="K14" s="15">
        <f>L14+23364+21016+15924+26688+25520+8240+11936+14412</f>
        <v>172996</v>
      </c>
      <c r="L14" s="15">
        <f>3021*4+3453*4</f>
        <v>25896</v>
      </c>
      <c r="M14" s="15">
        <f t="shared" si="0"/>
        <v>25896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9"/>
        <v>0.36594202898550721</v>
      </c>
      <c r="AF14" s="84">
        <f t="shared" si="7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456</v>
      </c>
      <c r="F15" s="30" t="s">
        <v>457</v>
      </c>
      <c r="G15" s="33">
        <v>1</v>
      </c>
      <c r="H15" s="35">
        <v>30</v>
      </c>
      <c r="I15" s="7">
        <v>300</v>
      </c>
      <c r="J15" s="5">
        <v>560</v>
      </c>
      <c r="K15" s="15">
        <f>L15+560</f>
        <v>560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9"/>
        <v>0.36594202898550721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9"/>
        <v>0.36594202898550721</v>
      </c>
      <c r="AF16" s="84">
        <f t="shared" si="7"/>
        <v>10</v>
      </c>
    </row>
    <row r="17" spans="1:32" ht="27" customHeight="1">
      <c r="A17" s="112">
        <v>11</v>
      </c>
      <c r="B17" s="11" t="s">
        <v>57</v>
      </c>
      <c r="C17" s="34" t="s">
        <v>145</v>
      </c>
      <c r="D17" s="52"/>
      <c r="E17" s="53" t="s">
        <v>236</v>
      </c>
      <c r="F17" s="30" t="s">
        <v>146</v>
      </c>
      <c r="G17" s="12">
        <v>32</v>
      </c>
      <c r="H17" s="13">
        <v>24</v>
      </c>
      <c r="I17" s="7">
        <v>2000000</v>
      </c>
      <c r="J17" s="14">
        <v>305888</v>
      </c>
      <c r="K17" s="15">
        <f>L17</f>
        <v>305888</v>
      </c>
      <c r="L17" s="15">
        <f>3336*32+6223*32</f>
        <v>305888</v>
      </c>
      <c r="M17" s="15">
        <f t="shared" si="0"/>
        <v>305888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/>
      <c r="T17" s="16">
        <v>4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6">
        <f t="shared" si="9"/>
        <v>0.36594202898550721</v>
      </c>
      <c r="AF17" s="84">
        <f t="shared" si="7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439</v>
      </c>
      <c r="E18" s="53" t="s">
        <v>440</v>
      </c>
      <c r="F18" s="30" t="s">
        <v>159</v>
      </c>
      <c r="G18" s="12">
        <v>1</v>
      </c>
      <c r="H18" s="13">
        <v>24</v>
      </c>
      <c r="I18" s="7">
        <v>2000</v>
      </c>
      <c r="J18" s="14">
        <v>4211</v>
      </c>
      <c r="K18" s="15">
        <f>L18+4211</f>
        <v>4211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9"/>
        <v>0.36594202898550721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34" t="s">
        <v>112</v>
      </c>
      <c r="D19" s="52" t="s">
        <v>115</v>
      </c>
      <c r="E19" s="53" t="s">
        <v>262</v>
      </c>
      <c r="F19" s="30" t="s">
        <v>123</v>
      </c>
      <c r="G19" s="12">
        <v>1</v>
      </c>
      <c r="H19" s="13">
        <v>22</v>
      </c>
      <c r="I19" s="31">
        <v>2700</v>
      </c>
      <c r="J19" s="5">
        <v>3684</v>
      </c>
      <c r="K19" s="15">
        <f>L19</f>
        <v>3684</v>
      </c>
      <c r="L19" s="15">
        <f>1433*2+409*2</f>
        <v>3684</v>
      </c>
      <c r="M19" s="15">
        <f t="shared" si="0"/>
        <v>3684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/>
      <c r="T19" s="16"/>
      <c r="U19" s="16"/>
      <c r="V19" s="17"/>
      <c r="W19" s="5">
        <v>13</v>
      </c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9"/>
        <v>0.36594202898550721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34" t="s">
        <v>116</v>
      </c>
      <c r="D20" s="52" t="s">
        <v>259</v>
      </c>
      <c r="E20" s="53" t="s">
        <v>410</v>
      </c>
      <c r="F20" s="30" t="s">
        <v>411</v>
      </c>
      <c r="G20" s="12">
        <v>1</v>
      </c>
      <c r="H20" s="13">
        <v>24</v>
      </c>
      <c r="I20" s="7">
        <v>30000</v>
      </c>
      <c r="J20" s="14">
        <v>3177</v>
      </c>
      <c r="K20" s="15">
        <f>L20+2149+1588+3170</f>
        <v>10084</v>
      </c>
      <c r="L20" s="15">
        <f>1254+1923</f>
        <v>3177</v>
      </c>
      <c r="M20" s="15">
        <f t="shared" si="0"/>
        <v>3177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9"/>
        <v>0.36594202898550721</v>
      </c>
      <c r="AF20" s="84">
        <f t="shared" si="7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324</v>
      </c>
      <c r="F21" s="30" t="s">
        <v>124</v>
      </c>
      <c r="G21" s="33">
        <v>4</v>
      </c>
      <c r="H21" s="35">
        <v>24</v>
      </c>
      <c r="I21" s="7">
        <v>250000</v>
      </c>
      <c r="J21" s="14">
        <v>25064</v>
      </c>
      <c r="K21" s="15">
        <f>L21+16424+3460+8466+14048+14809+10420+6468+20028</f>
        <v>119187</v>
      </c>
      <c r="L21" s="15">
        <f>2949*4+3317*4</f>
        <v>25064</v>
      </c>
      <c r="M21" s="15">
        <f t="shared" si="0"/>
        <v>25064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>
        <v>2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9"/>
        <v>0.36594202898550721</v>
      </c>
      <c r="AF21" s="84">
        <f t="shared" si="7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328</v>
      </c>
      <c r="F22" s="12" t="s">
        <v>114</v>
      </c>
      <c r="G22" s="12">
        <v>4</v>
      </c>
      <c r="H22" s="35">
        <v>20</v>
      </c>
      <c r="I22" s="7">
        <v>300000</v>
      </c>
      <c r="J22" s="14">
        <v>36320</v>
      </c>
      <c r="K22" s="15">
        <f>L22+30164+39608+36320</f>
        <v>106092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9"/>
        <v>0.36594202898550721</v>
      </c>
      <c r="AF22" s="84">
        <f t="shared" si="7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9"/>
        <v>0.36594202898550721</v>
      </c>
      <c r="AF23" s="84">
        <f t="shared" si="7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9"/>
        <v>0.36594202898550721</v>
      </c>
      <c r="AF24" s="84">
        <f t="shared" si="7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9"/>
        <v>0.36594202898550721</v>
      </c>
      <c r="AF25" s="84">
        <f t="shared" si="7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9"/>
        <v>0.36594202898550721</v>
      </c>
      <c r="AF26" s="84">
        <f t="shared" si="7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9"/>
        <v>0.36594202898550721</v>
      </c>
      <c r="AF27" s="84">
        <f t="shared" si="7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9"/>
        <v>0.36594202898550721</v>
      </c>
      <c r="AF28" s="84">
        <f t="shared" si="7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0">SUM(I6:I28)</f>
        <v>5692500</v>
      </c>
      <c r="J29" s="19">
        <f t="shared" si="10"/>
        <v>839510</v>
      </c>
      <c r="K29" s="20">
        <f t="shared" si="10"/>
        <v>5741952</v>
      </c>
      <c r="L29" s="21">
        <f t="shared" si="10"/>
        <v>405211</v>
      </c>
      <c r="M29" s="20">
        <f t="shared" si="10"/>
        <v>405211</v>
      </c>
      <c r="N29" s="21">
        <f t="shared" si="10"/>
        <v>0</v>
      </c>
      <c r="O29" s="41">
        <f t="shared" si="1"/>
        <v>0</v>
      </c>
      <c r="P29" s="42">
        <f t="shared" ref="P29:AA29" si="11">SUM(P6:P28)</f>
        <v>202</v>
      </c>
      <c r="Q29" s="43">
        <f t="shared" si="11"/>
        <v>350</v>
      </c>
      <c r="R29" s="23">
        <f t="shared" si="11"/>
        <v>2</v>
      </c>
      <c r="S29" s="24">
        <f t="shared" si="11"/>
        <v>12</v>
      </c>
      <c r="T29" s="24">
        <f t="shared" si="11"/>
        <v>12</v>
      </c>
      <c r="U29" s="24">
        <f t="shared" si="11"/>
        <v>0</v>
      </c>
      <c r="V29" s="25">
        <f t="shared" si="11"/>
        <v>24</v>
      </c>
      <c r="W29" s="26">
        <f t="shared" si="11"/>
        <v>300</v>
      </c>
      <c r="X29" s="27">
        <f t="shared" si="11"/>
        <v>0</v>
      </c>
      <c r="Y29" s="27">
        <f t="shared" si="11"/>
        <v>0</v>
      </c>
      <c r="Z29" s="27">
        <f t="shared" si="11"/>
        <v>0</v>
      </c>
      <c r="AA29" s="27">
        <f t="shared" si="11"/>
        <v>0</v>
      </c>
      <c r="AB29" s="28">
        <f>AVERAGE(AB6:AB28)</f>
        <v>0.5714285714285714</v>
      </c>
      <c r="AC29" s="4">
        <f>AVERAGE(AC6:AC28)</f>
        <v>0.36594202898550721</v>
      </c>
      <c r="AD29" s="4">
        <f>AVERAGE(AD6:AD28)</f>
        <v>0.36594202898550721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469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472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327" t="s">
        <v>46</v>
      </c>
      <c r="D58" s="327" t="s">
        <v>47</v>
      </c>
      <c r="E58" s="327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327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323" t="s">
        <v>223</v>
      </c>
      <c r="D59" s="323" t="s">
        <v>155</v>
      </c>
      <c r="E59" s="323" t="s">
        <v>325</v>
      </c>
      <c r="F59" s="437" t="s">
        <v>470</v>
      </c>
      <c r="G59" s="438"/>
      <c r="H59" s="438"/>
      <c r="I59" s="438"/>
      <c r="J59" s="438"/>
      <c r="K59" s="438"/>
      <c r="L59" s="438"/>
      <c r="M59" s="439"/>
      <c r="N59" s="326" t="s">
        <v>112</v>
      </c>
      <c r="O59" s="320" t="s">
        <v>148</v>
      </c>
      <c r="P59" s="440" t="s">
        <v>155</v>
      </c>
      <c r="Q59" s="441"/>
      <c r="R59" s="440" t="s">
        <v>454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323" t="s">
        <v>148</v>
      </c>
      <c r="D60" s="323" t="s">
        <v>316</v>
      </c>
      <c r="E60" s="323" t="s">
        <v>462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326" t="s">
        <v>116</v>
      </c>
      <c r="O60" s="320" t="s">
        <v>234</v>
      </c>
      <c r="P60" s="440" t="s">
        <v>259</v>
      </c>
      <c r="Q60" s="441"/>
      <c r="R60" s="440" t="s">
        <v>401</v>
      </c>
      <c r="S60" s="442"/>
      <c r="T60" s="442"/>
      <c r="U60" s="441"/>
      <c r="V60" s="437" t="s">
        <v>226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323" t="s">
        <v>326</v>
      </c>
      <c r="D61" s="323" t="s">
        <v>129</v>
      </c>
      <c r="E61" s="323" t="s">
        <v>324</v>
      </c>
      <c r="F61" s="437" t="s">
        <v>471</v>
      </c>
      <c r="G61" s="438"/>
      <c r="H61" s="438"/>
      <c r="I61" s="438"/>
      <c r="J61" s="438"/>
      <c r="K61" s="438"/>
      <c r="L61" s="438"/>
      <c r="M61" s="439"/>
      <c r="N61" s="326" t="s">
        <v>112</v>
      </c>
      <c r="O61" s="320" t="s">
        <v>196</v>
      </c>
      <c r="P61" s="440" t="s">
        <v>129</v>
      </c>
      <c r="Q61" s="441"/>
      <c r="R61" s="440" t="s">
        <v>249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116</v>
      </c>
      <c r="B62" s="436"/>
      <c r="C62" s="323" t="s">
        <v>234</v>
      </c>
      <c r="D62" s="323" t="s">
        <v>259</v>
      </c>
      <c r="E62" s="323" t="s">
        <v>401</v>
      </c>
      <c r="F62" s="437" t="s">
        <v>367</v>
      </c>
      <c r="G62" s="438"/>
      <c r="H62" s="438"/>
      <c r="I62" s="438"/>
      <c r="J62" s="438"/>
      <c r="K62" s="438"/>
      <c r="L62" s="438"/>
      <c r="M62" s="439"/>
      <c r="N62" s="326"/>
      <c r="O62" s="320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323" t="s">
        <v>196</v>
      </c>
      <c r="D63" s="323" t="s">
        <v>115</v>
      </c>
      <c r="E63" s="323" t="s">
        <v>262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326"/>
      <c r="O63" s="320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323" t="s">
        <v>233</v>
      </c>
      <c r="D64" s="323" t="s">
        <v>259</v>
      </c>
      <c r="E64" s="323" t="s">
        <v>260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326"/>
      <c r="O64" s="320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 t="s">
        <v>112</v>
      </c>
      <c r="B65" s="436"/>
      <c r="C65" s="323" t="s">
        <v>191</v>
      </c>
      <c r="D65" s="323" t="s">
        <v>115</v>
      </c>
      <c r="E65" s="323" t="s">
        <v>400</v>
      </c>
      <c r="F65" s="437" t="s">
        <v>368</v>
      </c>
      <c r="G65" s="438"/>
      <c r="H65" s="438"/>
      <c r="I65" s="438"/>
      <c r="J65" s="438"/>
      <c r="K65" s="438"/>
      <c r="L65" s="438"/>
      <c r="M65" s="439"/>
      <c r="N65" s="326"/>
      <c r="O65" s="320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 t="s">
        <v>112</v>
      </c>
      <c r="B66" s="454"/>
      <c r="C66" s="322" t="s">
        <v>191</v>
      </c>
      <c r="D66" s="322" t="s">
        <v>115</v>
      </c>
      <c r="E66" s="323" t="s">
        <v>399</v>
      </c>
      <c r="F66" s="437" t="s">
        <v>368</v>
      </c>
      <c r="G66" s="438"/>
      <c r="H66" s="438"/>
      <c r="I66" s="438"/>
      <c r="J66" s="438"/>
      <c r="K66" s="438"/>
      <c r="L66" s="438"/>
      <c r="M66" s="439"/>
      <c r="N66" s="326"/>
      <c r="O66" s="320"/>
      <c r="P66" s="440"/>
      <c r="Q66" s="441"/>
      <c r="R66" s="440"/>
      <c r="S66" s="442"/>
      <c r="T66" s="442"/>
      <c r="U66" s="441"/>
      <c r="V66" s="437"/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322"/>
      <c r="D67" s="322"/>
      <c r="E67" s="323"/>
      <c r="F67" s="437"/>
      <c r="G67" s="438"/>
      <c r="H67" s="438"/>
      <c r="I67" s="438"/>
      <c r="J67" s="438"/>
      <c r="K67" s="438"/>
      <c r="L67" s="438"/>
      <c r="M67" s="439"/>
      <c r="N67" s="326"/>
      <c r="O67" s="320"/>
      <c r="P67" s="436"/>
      <c r="Q67" s="436"/>
      <c r="R67" s="436"/>
      <c r="S67" s="436"/>
      <c r="T67" s="436"/>
      <c r="U67" s="436"/>
      <c r="V67" s="443"/>
      <c r="W67" s="443"/>
      <c r="X67" s="443"/>
      <c r="Y67" s="443"/>
      <c r="Z67" s="443"/>
      <c r="AA67" s="443"/>
      <c r="AB67" s="443"/>
      <c r="AC67" s="443"/>
      <c r="AD67" s="444"/>
      <c r="AF67" s="84">
        <f>8*3000</f>
        <v>24000</v>
      </c>
    </row>
    <row r="68" spans="1:32" ht="27" customHeight="1" thickBot="1">
      <c r="A68" s="445"/>
      <c r="B68" s="446"/>
      <c r="C68" s="324"/>
      <c r="D68" s="325"/>
      <c r="E68" s="324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473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321" t="s">
        <v>2</v>
      </c>
      <c r="D70" s="321" t="s">
        <v>37</v>
      </c>
      <c r="E70" s="321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321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112</v>
      </c>
      <c r="D71" s="316"/>
      <c r="E71" s="319" t="s">
        <v>115</v>
      </c>
      <c r="F71" s="464" t="s">
        <v>400</v>
      </c>
      <c r="G71" s="465"/>
      <c r="H71" s="465"/>
      <c r="I71" s="465"/>
      <c r="J71" s="465"/>
      <c r="K71" s="465" t="s">
        <v>409</v>
      </c>
      <c r="L71" s="465"/>
      <c r="M71" s="51" t="s">
        <v>214</v>
      </c>
      <c r="N71" s="466" t="s">
        <v>191</v>
      </c>
      <c r="O71" s="466"/>
      <c r="P71" s="467">
        <v>20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112</v>
      </c>
      <c r="D72" s="316"/>
      <c r="E72" s="319" t="s">
        <v>115</v>
      </c>
      <c r="F72" s="464" t="s">
        <v>399</v>
      </c>
      <c r="G72" s="465"/>
      <c r="H72" s="465"/>
      <c r="I72" s="465"/>
      <c r="J72" s="465"/>
      <c r="K72" s="465" t="s">
        <v>409</v>
      </c>
      <c r="L72" s="465"/>
      <c r="M72" s="51" t="s">
        <v>214</v>
      </c>
      <c r="N72" s="466" t="s">
        <v>191</v>
      </c>
      <c r="O72" s="466"/>
      <c r="P72" s="467">
        <v>20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/>
      <c r="D73" s="316"/>
      <c r="E73" s="319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/>
      <c r="D74" s="316"/>
      <c r="E74" s="319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316"/>
      <c r="E75" s="319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316"/>
      <c r="E76" s="319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316"/>
      <c r="E77" s="319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316"/>
      <c r="E78" s="319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316"/>
      <c r="E79" s="319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316"/>
      <c r="E80" s="319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474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318" t="s">
        <v>2</v>
      </c>
      <c r="D82" s="318" t="s">
        <v>37</v>
      </c>
      <c r="E82" s="318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317"/>
      <c r="D83" s="317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316"/>
      <c r="D84" s="316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2">A84+1</f>
        <v>3</v>
      </c>
      <c r="B85" s="481"/>
      <c r="C85" s="316"/>
      <c r="D85" s="316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2"/>
        <v>4</v>
      </c>
      <c r="B86" s="481"/>
      <c r="C86" s="316"/>
      <c r="D86" s="316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2"/>
        <v>5</v>
      </c>
      <c r="B87" s="481"/>
      <c r="C87" s="316"/>
      <c r="D87" s="316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2"/>
        <v>6</v>
      </c>
      <c r="B88" s="481"/>
      <c r="C88" s="316"/>
      <c r="D88" s="316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2"/>
        <v>7</v>
      </c>
      <c r="B89" s="481"/>
      <c r="C89" s="316"/>
      <c r="D89" s="316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475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0888-1095-4ACF-961D-2A824566A32A}">
  <sheetPr codeName="Sheet18">
    <pageSetUpPr fitToPage="1"/>
  </sheetPr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476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29" t="s">
        <v>17</v>
      </c>
      <c r="L5" s="329" t="s">
        <v>18</v>
      </c>
      <c r="M5" s="329" t="s">
        <v>19</v>
      </c>
      <c r="N5" s="32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23892</v>
      </c>
      <c r="K6" s="15">
        <f>L6+15136+17956+16756+15208+17656</f>
        <v>106604</v>
      </c>
      <c r="L6" s="15">
        <f>2502*4+3471*4</f>
        <v>23892</v>
      </c>
      <c r="M6" s="15">
        <f t="shared" ref="M6:M28" si="0">L6-N6</f>
        <v>23892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24</v>
      </c>
      <c r="Q6" s="40">
        <f t="shared" ref="Q6:Q28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1</v>
      </c>
      <c r="AD6" s="10">
        <f t="shared" ref="AD6:AD28" si="6">AC6*AB6*(1-O6)</f>
        <v>1</v>
      </c>
      <c r="AE6" s="36">
        <f>$AD$29</f>
        <v>0.2952898550724638</v>
      </c>
      <c r="AF6" s="84">
        <f t="shared" ref="AF6:AF28" si="7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316</v>
      </c>
      <c r="E7" s="53" t="s">
        <v>462</v>
      </c>
      <c r="F7" s="30" t="s">
        <v>153</v>
      </c>
      <c r="G7" s="12">
        <v>1</v>
      </c>
      <c r="H7" s="13">
        <v>24</v>
      </c>
      <c r="I7" s="31">
        <v>6000</v>
      </c>
      <c r="J7" s="14">
        <v>761</v>
      </c>
      <c r="K7" s="15">
        <f>L7+5985</f>
        <v>6746</v>
      </c>
      <c r="L7" s="15">
        <v>761</v>
      </c>
      <c r="M7" s="15">
        <f t="shared" si="0"/>
        <v>761</v>
      </c>
      <c r="N7" s="15">
        <v>0</v>
      </c>
      <c r="O7" s="58">
        <f t="shared" si="1"/>
        <v>0</v>
      </c>
      <c r="P7" s="39">
        <f t="shared" si="2"/>
        <v>3</v>
      </c>
      <c r="Q7" s="40">
        <f t="shared" si="3"/>
        <v>21</v>
      </c>
      <c r="R7" s="7"/>
      <c r="S7" s="6"/>
      <c r="T7" s="16"/>
      <c r="U7" s="16"/>
      <c r="V7" s="17"/>
      <c r="W7" s="5">
        <v>21</v>
      </c>
      <c r="X7" s="16"/>
      <c r="Y7" s="16"/>
      <c r="Z7" s="16"/>
      <c r="AA7" s="18"/>
      <c r="AB7" s="8">
        <f t="shared" si="4"/>
        <v>1</v>
      </c>
      <c r="AC7" s="9">
        <f t="shared" si="5"/>
        <v>0.125</v>
      </c>
      <c r="AD7" s="10">
        <f t="shared" si="6"/>
        <v>0.125</v>
      </c>
      <c r="AE7" s="36">
        <f>$AD$29</f>
        <v>0.2952898550724638</v>
      </c>
      <c r="AF7" s="84">
        <f t="shared" si="7"/>
        <v>2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155</v>
      </c>
      <c r="E8" s="53" t="s">
        <v>454</v>
      </c>
      <c r="F8" s="30" t="s">
        <v>153</v>
      </c>
      <c r="G8" s="12">
        <v>1</v>
      </c>
      <c r="H8" s="13">
        <v>24</v>
      </c>
      <c r="I8" s="31">
        <v>25000</v>
      </c>
      <c r="J8" s="14">
        <v>5003</v>
      </c>
      <c r="K8" s="15">
        <f>L8</f>
        <v>5003</v>
      </c>
      <c r="L8" s="15">
        <f>2789+2214</f>
        <v>5003</v>
      </c>
      <c r="M8" s="15">
        <f t="shared" si="0"/>
        <v>5003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 t="shared" ref="AE8:AE28" si="8">$AD$29</f>
        <v>0.2952898550724638</v>
      </c>
      <c r="AF8" s="84">
        <f t="shared" si="7"/>
        <v>2</v>
      </c>
    </row>
    <row r="9" spans="1:32" ht="27" customHeight="1">
      <c r="A9" s="112">
        <v>3</v>
      </c>
      <c r="B9" s="11" t="s">
        <v>57</v>
      </c>
      <c r="C9" s="34" t="s">
        <v>112</v>
      </c>
      <c r="D9" s="52" t="s">
        <v>115</v>
      </c>
      <c r="E9" s="53" t="s">
        <v>399</v>
      </c>
      <c r="F9" s="30" t="s">
        <v>409</v>
      </c>
      <c r="G9" s="12">
        <v>1</v>
      </c>
      <c r="H9" s="13">
        <v>24</v>
      </c>
      <c r="I9" s="7">
        <v>100</v>
      </c>
      <c r="J9" s="14">
        <v>100</v>
      </c>
      <c r="K9" s="15">
        <f>L9+100</f>
        <v>100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8"/>
        <v>0.2952898550724638</v>
      </c>
      <c r="AF9" s="84">
        <f t="shared" si="7"/>
        <v>3</v>
      </c>
    </row>
    <row r="10" spans="1:32" ht="27" customHeight="1">
      <c r="A10" s="96">
        <v>4</v>
      </c>
      <c r="B10" s="11" t="s">
        <v>57</v>
      </c>
      <c r="C10" s="34" t="s">
        <v>468</v>
      </c>
      <c r="D10" s="52" t="s">
        <v>259</v>
      </c>
      <c r="E10" s="53" t="s">
        <v>260</v>
      </c>
      <c r="F10" s="30" t="s">
        <v>144</v>
      </c>
      <c r="G10" s="12">
        <v>2</v>
      </c>
      <c r="H10" s="13">
        <v>24</v>
      </c>
      <c r="I10" s="7">
        <v>4000</v>
      </c>
      <c r="J10" s="14">
        <v>5056</v>
      </c>
      <c r="K10" s="15">
        <f>L10+5056</f>
        <v>5056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8"/>
        <v>0.2952898550724638</v>
      </c>
      <c r="AF10" s="84">
        <f t="shared" si="7"/>
        <v>4</v>
      </c>
    </row>
    <row r="11" spans="1:32" ht="27" customHeight="1">
      <c r="A11" s="96">
        <v>5</v>
      </c>
      <c r="B11" s="11" t="s">
        <v>57</v>
      </c>
      <c r="C11" s="11" t="s">
        <v>116</v>
      </c>
      <c r="D11" s="52" t="s">
        <v>121</v>
      </c>
      <c r="E11" s="53" t="s">
        <v>287</v>
      </c>
      <c r="F11" s="30" t="s">
        <v>132</v>
      </c>
      <c r="G11" s="33">
        <v>2</v>
      </c>
      <c r="H11" s="35">
        <v>24</v>
      </c>
      <c r="I11" s="7">
        <v>300</v>
      </c>
      <c r="J11" s="14">
        <v>300</v>
      </c>
      <c r="K11" s="15">
        <f>L11+300</f>
        <v>300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8"/>
        <v>0.2952898550724638</v>
      </c>
      <c r="AF11" s="84">
        <f t="shared" si="7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221</v>
      </c>
      <c r="E12" s="53" t="s">
        <v>448</v>
      </c>
      <c r="F12" s="30" t="s">
        <v>220</v>
      </c>
      <c r="G12" s="33">
        <v>2</v>
      </c>
      <c r="H12" s="35">
        <v>24</v>
      </c>
      <c r="I12" s="7">
        <v>13000</v>
      </c>
      <c r="J12" s="14">
        <v>7306</v>
      </c>
      <c r="K12" s="15">
        <f>L12+7496+7306</f>
        <v>14802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8"/>
        <v>0.2952898550724638</v>
      </c>
      <c r="AF12" s="84">
        <f t="shared" si="7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455</v>
      </c>
      <c r="F13" s="30" t="s">
        <v>123</v>
      </c>
      <c r="G13" s="12">
        <v>1</v>
      </c>
      <c r="H13" s="13">
        <v>22</v>
      </c>
      <c r="I13" s="31">
        <v>60000</v>
      </c>
      <c r="J13" s="5">
        <v>5142</v>
      </c>
      <c r="K13" s="15">
        <f>L13+5056+5299</f>
        <v>15497</v>
      </c>
      <c r="L13" s="15">
        <f>2305+2837</f>
        <v>5142</v>
      </c>
      <c r="M13" s="15">
        <f t="shared" si="0"/>
        <v>5142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8"/>
        <v>0.2952898550724638</v>
      </c>
      <c r="AF13" s="84">
        <f t="shared" si="7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259</v>
      </c>
      <c r="E14" s="53" t="s">
        <v>323</v>
      </c>
      <c r="F14" s="30" t="s">
        <v>123</v>
      </c>
      <c r="G14" s="33">
        <v>4</v>
      </c>
      <c r="H14" s="35">
        <v>22</v>
      </c>
      <c r="I14" s="7">
        <v>250000</v>
      </c>
      <c r="J14" s="14">
        <v>26056</v>
      </c>
      <c r="K14" s="15">
        <f>L14+23364+21016+15924+26688+25520+8240+11936+14412+25896</f>
        <v>199052</v>
      </c>
      <c r="L14" s="15">
        <f>3020*4+3494*4</f>
        <v>26056</v>
      </c>
      <c r="M14" s="15">
        <f t="shared" si="0"/>
        <v>26056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8"/>
        <v>0.2952898550724638</v>
      </c>
      <c r="AF14" s="84">
        <f t="shared" si="7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456</v>
      </c>
      <c r="F15" s="30" t="s">
        <v>457</v>
      </c>
      <c r="G15" s="33">
        <v>1</v>
      </c>
      <c r="H15" s="35">
        <v>30</v>
      </c>
      <c r="I15" s="7">
        <v>300</v>
      </c>
      <c r="J15" s="5">
        <v>560</v>
      </c>
      <c r="K15" s="15">
        <f>L15+560</f>
        <v>560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8"/>
        <v>0.2952898550724638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8"/>
        <v>0.2952898550724638</v>
      </c>
      <c r="AF16" s="84">
        <f t="shared" si="7"/>
        <v>10</v>
      </c>
    </row>
    <row r="17" spans="1:32" ht="27" customHeight="1">
      <c r="A17" s="112">
        <v>11</v>
      </c>
      <c r="B17" s="11" t="s">
        <v>57</v>
      </c>
      <c r="C17" s="34" t="s">
        <v>145</v>
      </c>
      <c r="D17" s="52"/>
      <c r="E17" s="53" t="s">
        <v>236</v>
      </c>
      <c r="F17" s="30" t="s">
        <v>146</v>
      </c>
      <c r="G17" s="12">
        <v>32</v>
      </c>
      <c r="H17" s="13">
        <v>24</v>
      </c>
      <c r="I17" s="7">
        <v>2000000</v>
      </c>
      <c r="J17" s="14">
        <v>365184</v>
      </c>
      <c r="K17" s="15">
        <f>L17+305888</f>
        <v>671072</v>
      </c>
      <c r="L17" s="15">
        <f>4878*32+6534*32</f>
        <v>365184</v>
      </c>
      <c r="M17" s="15">
        <f t="shared" si="0"/>
        <v>365184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8"/>
        <v>0.2952898550724638</v>
      </c>
      <c r="AF17" s="84">
        <f t="shared" si="7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439</v>
      </c>
      <c r="E18" s="53" t="s">
        <v>440</v>
      </c>
      <c r="F18" s="30" t="s">
        <v>159</v>
      </c>
      <c r="G18" s="12">
        <v>1</v>
      </c>
      <c r="H18" s="13">
        <v>24</v>
      </c>
      <c r="I18" s="7">
        <v>2000</v>
      </c>
      <c r="J18" s="14">
        <v>4211</v>
      </c>
      <c r="K18" s="15">
        <f>L18+4211</f>
        <v>4211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8"/>
        <v>0.2952898550724638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34" t="s">
        <v>112</v>
      </c>
      <c r="D19" s="52" t="s">
        <v>129</v>
      </c>
      <c r="E19" s="53" t="s">
        <v>249</v>
      </c>
      <c r="F19" s="30" t="s">
        <v>124</v>
      </c>
      <c r="G19" s="12">
        <v>2</v>
      </c>
      <c r="H19" s="13">
        <v>22</v>
      </c>
      <c r="I19" s="31">
        <v>4000</v>
      </c>
      <c r="J19" s="5">
        <v>4166</v>
      </c>
      <c r="K19" s="15">
        <f>L19</f>
        <v>4166</v>
      </c>
      <c r="L19" s="15">
        <f>2083*2</f>
        <v>4166</v>
      </c>
      <c r="M19" s="15">
        <f t="shared" si="0"/>
        <v>4166</v>
      </c>
      <c r="N19" s="15">
        <v>0</v>
      </c>
      <c r="O19" s="58">
        <f t="shared" si="1"/>
        <v>0</v>
      </c>
      <c r="P19" s="39">
        <f t="shared" si="2"/>
        <v>10</v>
      </c>
      <c r="Q19" s="40">
        <f t="shared" si="3"/>
        <v>14</v>
      </c>
      <c r="R19" s="7"/>
      <c r="S19" s="6"/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4"/>
        <v>1</v>
      </c>
      <c r="AC19" s="9">
        <f t="shared" si="5"/>
        <v>0.41666666666666669</v>
      </c>
      <c r="AD19" s="10">
        <f t="shared" si="6"/>
        <v>0.41666666666666669</v>
      </c>
      <c r="AE19" s="36">
        <f t="shared" si="8"/>
        <v>0.2952898550724638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34" t="s">
        <v>116</v>
      </c>
      <c r="D20" s="52" t="s">
        <v>259</v>
      </c>
      <c r="E20" s="53" t="s">
        <v>410</v>
      </c>
      <c r="F20" s="30" t="s">
        <v>411</v>
      </c>
      <c r="G20" s="12">
        <v>1</v>
      </c>
      <c r="H20" s="13">
        <v>24</v>
      </c>
      <c r="I20" s="7">
        <v>30000</v>
      </c>
      <c r="J20" s="14">
        <v>1793</v>
      </c>
      <c r="K20" s="15">
        <f>L20+2149+1588+3170+3177</f>
        <v>11877</v>
      </c>
      <c r="L20" s="15">
        <f>1145+648</f>
        <v>1793</v>
      </c>
      <c r="M20" s="15">
        <f t="shared" si="0"/>
        <v>1793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8"/>
        <v>0.2952898550724638</v>
      </c>
      <c r="AF20" s="84">
        <f t="shared" si="7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324</v>
      </c>
      <c r="F21" s="30" t="s">
        <v>124</v>
      </c>
      <c r="G21" s="33">
        <v>4</v>
      </c>
      <c r="H21" s="35">
        <v>24</v>
      </c>
      <c r="I21" s="7">
        <v>250000</v>
      </c>
      <c r="J21" s="14">
        <v>24256</v>
      </c>
      <c r="K21" s="15">
        <f>L21+16424+3460+8466+14048+14809+10420+6468+20028+25064</f>
        <v>143443</v>
      </c>
      <c r="L21" s="15">
        <f>3439*4+2625*4</f>
        <v>24256</v>
      </c>
      <c r="M21" s="15">
        <f t="shared" si="0"/>
        <v>24256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8"/>
        <v>0.2952898550724638</v>
      </c>
      <c r="AF21" s="84">
        <f t="shared" si="7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328</v>
      </c>
      <c r="F22" s="12" t="s">
        <v>114</v>
      </c>
      <c r="G22" s="12">
        <v>4</v>
      </c>
      <c r="H22" s="35">
        <v>20</v>
      </c>
      <c r="I22" s="7">
        <v>300000</v>
      </c>
      <c r="J22" s="14">
        <v>36320</v>
      </c>
      <c r="K22" s="15">
        <f>L22+30164+39608+36320</f>
        <v>106092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8"/>
        <v>0.2952898550724638</v>
      </c>
      <c r="AF22" s="84">
        <f t="shared" si="7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8"/>
        <v>0.2952898550724638</v>
      </c>
      <c r="AF23" s="84">
        <f t="shared" si="7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8"/>
        <v>0.2952898550724638</v>
      </c>
      <c r="AF24" s="84">
        <f t="shared" si="7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133</v>
      </c>
      <c r="E25" s="53" t="s">
        <v>136</v>
      </c>
      <c r="F25" s="12" t="s">
        <v>132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8"/>
        <v>0.2952898550724638</v>
      </c>
      <c r="AF25" s="84">
        <f t="shared" si="7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8"/>
        <v>0.2952898550724638</v>
      </c>
      <c r="AF26" s="84">
        <f t="shared" si="7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8"/>
        <v>0.2952898550724638</v>
      </c>
      <c r="AF27" s="84">
        <f t="shared" si="7"/>
        <v>35</v>
      </c>
    </row>
    <row r="28" spans="1:32" ht="19.5" thickBot="1">
      <c r="A28" s="96">
        <v>36</v>
      </c>
      <c r="B28" s="11" t="s">
        <v>57</v>
      </c>
      <c r="C28" s="11" t="s">
        <v>145</v>
      </c>
      <c r="D28" s="52"/>
      <c r="E28" s="53" t="s">
        <v>158</v>
      </c>
      <c r="F28" s="12" t="s">
        <v>146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8"/>
        <v>0.2952898550724638</v>
      </c>
      <c r="AF28" s="84">
        <f t="shared" si="7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9">SUM(I6:I28)</f>
        <v>5718700</v>
      </c>
      <c r="J29" s="19">
        <f t="shared" si="9"/>
        <v>903014</v>
      </c>
      <c r="K29" s="20">
        <f t="shared" si="9"/>
        <v>6194421</v>
      </c>
      <c r="L29" s="21">
        <f t="shared" si="9"/>
        <v>456253</v>
      </c>
      <c r="M29" s="20">
        <f t="shared" si="9"/>
        <v>456253</v>
      </c>
      <c r="N29" s="21">
        <f t="shared" si="9"/>
        <v>0</v>
      </c>
      <c r="O29" s="41">
        <f t="shared" si="1"/>
        <v>0</v>
      </c>
      <c r="P29" s="42">
        <f t="shared" ref="P29:AA29" si="10">SUM(P6:P28)</f>
        <v>163</v>
      </c>
      <c r="Q29" s="43">
        <f t="shared" si="10"/>
        <v>389</v>
      </c>
      <c r="R29" s="23">
        <f t="shared" si="10"/>
        <v>0</v>
      </c>
      <c r="S29" s="24">
        <f t="shared" si="10"/>
        <v>18</v>
      </c>
      <c r="T29" s="24">
        <f t="shared" si="10"/>
        <v>0</v>
      </c>
      <c r="U29" s="24">
        <f t="shared" si="10"/>
        <v>0</v>
      </c>
      <c r="V29" s="25">
        <f t="shared" si="10"/>
        <v>24</v>
      </c>
      <c r="W29" s="26">
        <f t="shared" si="10"/>
        <v>299</v>
      </c>
      <c r="X29" s="27">
        <f t="shared" si="10"/>
        <v>0</v>
      </c>
      <c r="Y29" s="27">
        <f t="shared" si="10"/>
        <v>0</v>
      </c>
      <c r="Z29" s="27">
        <f t="shared" si="10"/>
        <v>0</v>
      </c>
      <c r="AA29" s="27">
        <f t="shared" si="10"/>
        <v>48</v>
      </c>
      <c r="AB29" s="28">
        <f>AVERAGE(AB6:AB28)</f>
        <v>0.42857142857142855</v>
      </c>
      <c r="AC29" s="4">
        <f>AVERAGE(AC6:AC28)</f>
        <v>0.2952898550724638</v>
      </c>
      <c r="AD29" s="4">
        <f>AVERAGE(AD6:AD28)</f>
        <v>0.2952898550724638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477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479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330" t="s">
        <v>46</v>
      </c>
      <c r="D58" s="330" t="s">
        <v>47</v>
      </c>
      <c r="E58" s="330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330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332" t="s">
        <v>148</v>
      </c>
      <c r="D59" s="332" t="s">
        <v>155</v>
      </c>
      <c r="E59" s="332" t="s">
        <v>454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331" t="s">
        <v>112</v>
      </c>
      <c r="O59" s="338" t="s">
        <v>223</v>
      </c>
      <c r="P59" s="440" t="s">
        <v>155</v>
      </c>
      <c r="Q59" s="441"/>
      <c r="R59" s="440" t="s">
        <v>325</v>
      </c>
      <c r="S59" s="442"/>
      <c r="T59" s="442"/>
      <c r="U59" s="441"/>
      <c r="V59" s="437" t="s">
        <v>480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332" t="s">
        <v>196</v>
      </c>
      <c r="D60" s="332" t="s">
        <v>129</v>
      </c>
      <c r="E60" s="332" t="s">
        <v>249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331" t="s">
        <v>116</v>
      </c>
      <c r="O60" s="338" t="s">
        <v>234</v>
      </c>
      <c r="P60" s="440" t="s">
        <v>259</v>
      </c>
      <c r="Q60" s="441"/>
      <c r="R60" s="440" t="s">
        <v>401</v>
      </c>
      <c r="S60" s="442"/>
      <c r="T60" s="442"/>
      <c r="U60" s="441"/>
      <c r="V60" s="437" t="s">
        <v>226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332" t="s">
        <v>234</v>
      </c>
      <c r="D61" s="332" t="s">
        <v>259</v>
      </c>
      <c r="E61" s="332" t="s">
        <v>401</v>
      </c>
      <c r="F61" s="437" t="s">
        <v>478</v>
      </c>
      <c r="G61" s="438"/>
      <c r="H61" s="438"/>
      <c r="I61" s="438"/>
      <c r="J61" s="438"/>
      <c r="K61" s="438"/>
      <c r="L61" s="438"/>
      <c r="M61" s="439"/>
      <c r="N61" s="331" t="s">
        <v>112</v>
      </c>
      <c r="O61" s="338" t="s">
        <v>245</v>
      </c>
      <c r="P61" s="440" t="s">
        <v>259</v>
      </c>
      <c r="Q61" s="441"/>
      <c r="R61" s="440" t="s">
        <v>481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/>
      <c r="B62" s="436"/>
      <c r="C62" s="332"/>
      <c r="D62" s="332"/>
      <c r="E62" s="332"/>
      <c r="F62" s="437"/>
      <c r="G62" s="438"/>
      <c r="H62" s="438"/>
      <c r="I62" s="438"/>
      <c r="J62" s="438"/>
      <c r="K62" s="438"/>
      <c r="L62" s="438"/>
      <c r="M62" s="439"/>
      <c r="N62" s="331" t="s">
        <v>112</v>
      </c>
      <c r="O62" s="338" t="s">
        <v>187</v>
      </c>
      <c r="P62" s="440" t="s">
        <v>115</v>
      </c>
      <c r="Q62" s="441"/>
      <c r="R62" s="440" t="s">
        <v>482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/>
      <c r="B63" s="436"/>
      <c r="C63" s="332"/>
      <c r="D63" s="332"/>
      <c r="E63" s="332"/>
      <c r="F63" s="437"/>
      <c r="G63" s="438"/>
      <c r="H63" s="438"/>
      <c r="I63" s="438"/>
      <c r="J63" s="438"/>
      <c r="K63" s="438"/>
      <c r="L63" s="438"/>
      <c r="M63" s="439"/>
      <c r="N63" s="331" t="s">
        <v>116</v>
      </c>
      <c r="O63" s="338" t="s">
        <v>196</v>
      </c>
      <c r="P63" s="440" t="s">
        <v>115</v>
      </c>
      <c r="Q63" s="441"/>
      <c r="R63" s="440" t="s">
        <v>483</v>
      </c>
      <c r="S63" s="442"/>
      <c r="T63" s="442"/>
      <c r="U63" s="441"/>
      <c r="V63" s="437" t="s">
        <v>122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/>
      <c r="B64" s="436"/>
      <c r="C64" s="332"/>
      <c r="D64" s="332"/>
      <c r="E64" s="332"/>
      <c r="F64" s="437"/>
      <c r="G64" s="438"/>
      <c r="H64" s="438"/>
      <c r="I64" s="438"/>
      <c r="J64" s="438"/>
      <c r="K64" s="438"/>
      <c r="L64" s="438"/>
      <c r="M64" s="439"/>
      <c r="N64" s="331" t="s">
        <v>116</v>
      </c>
      <c r="O64" s="338" t="s">
        <v>485</v>
      </c>
      <c r="P64" s="440" t="s">
        <v>430</v>
      </c>
      <c r="Q64" s="441"/>
      <c r="R64" s="440" t="s">
        <v>484</v>
      </c>
      <c r="S64" s="442"/>
      <c r="T64" s="442"/>
      <c r="U64" s="441"/>
      <c r="V64" s="437" t="s">
        <v>122</v>
      </c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/>
      <c r="B65" s="436"/>
      <c r="C65" s="332"/>
      <c r="D65" s="332"/>
      <c r="E65" s="332"/>
      <c r="F65" s="437"/>
      <c r="G65" s="438"/>
      <c r="H65" s="438"/>
      <c r="I65" s="438"/>
      <c r="J65" s="438"/>
      <c r="K65" s="438"/>
      <c r="L65" s="438"/>
      <c r="M65" s="439"/>
      <c r="N65" s="331" t="s">
        <v>116</v>
      </c>
      <c r="O65" s="338" t="s">
        <v>486</v>
      </c>
      <c r="P65" s="440" t="s">
        <v>133</v>
      </c>
      <c r="Q65" s="441"/>
      <c r="R65" s="440" t="s">
        <v>137</v>
      </c>
      <c r="S65" s="442"/>
      <c r="T65" s="442"/>
      <c r="U65" s="441"/>
      <c r="V65" s="437" t="s">
        <v>122</v>
      </c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335"/>
      <c r="D66" s="335"/>
      <c r="E66" s="332"/>
      <c r="F66" s="437"/>
      <c r="G66" s="438"/>
      <c r="H66" s="438"/>
      <c r="I66" s="438"/>
      <c r="J66" s="438"/>
      <c r="K66" s="438"/>
      <c r="L66" s="438"/>
      <c r="M66" s="439"/>
      <c r="N66" s="331" t="s">
        <v>116</v>
      </c>
      <c r="O66" s="338" t="s">
        <v>487</v>
      </c>
      <c r="P66" s="440" t="s">
        <v>121</v>
      </c>
      <c r="Q66" s="441"/>
      <c r="R66" s="440" t="s">
        <v>126</v>
      </c>
      <c r="S66" s="442"/>
      <c r="T66" s="442"/>
      <c r="U66" s="441"/>
      <c r="V66" s="437" t="s">
        <v>122</v>
      </c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335"/>
      <c r="D67" s="335"/>
      <c r="E67" s="332"/>
      <c r="F67" s="437"/>
      <c r="G67" s="438"/>
      <c r="H67" s="438"/>
      <c r="I67" s="438"/>
      <c r="J67" s="438"/>
      <c r="K67" s="438"/>
      <c r="L67" s="438"/>
      <c r="M67" s="439"/>
      <c r="N67" s="331" t="s">
        <v>116</v>
      </c>
      <c r="O67" s="338" t="s">
        <v>488</v>
      </c>
      <c r="P67" s="436" t="s">
        <v>115</v>
      </c>
      <c r="Q67" s="436"/>
      <c r="R67" s="436" t="s">
        <v>489</v>
      </c>
      <c r="S67" s="436"/>
      <c r="T67" s="436"/>
      <c r="U67" s="436"/>
      <c r="V67" s="437" t="s">
        <v>122</v>
      </c>
      <c r="W67" s="438"/>
      <c r="X67" s="438"/>
      <c r="Y67" s="438"/>
      <c r="Z67" s="438"/>
      <c r="AA67" s="438"/>
      <c r="AB67" s="438"/>
      <c r="AC67" s="438"/>
      <c r="AD67" s="439"/>
      <c r="AF67" s="84">
        <f>8*3000</f>
        <v>24000</v>
      </c>
    </row>
    <row r="68" spans="1:32" ht="27" customHeight="1" thickBot="1">
      <c r="A68" s="445"/>
      <c r="B68" s="446"/>
      <c r="C68" s="333"/>
      <c r="D68" s="334"/>
      <c r="E68" s="333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490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336" t="s">
        <v>2</v>
      </c>
      <c r="D70" s="336" t="s">
        <v>37</v>
      </c>
      <c r="E70" s="336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336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116</v>
      </c>
      <c r="D71" s="340"/>
      <c r="E71" s="337" t="s">
        <v>115</v>
      </c>
      <c r="F71" s="464" t="s">
        <v>491</v>
      </c>
      <c r="G71" s="465"/>
      <c r="H71" s="465"/>
      <c r="I71" s="465"/>
      <c r="J71" s="465"/>
      <c r="K71" s="465">
        <v>7301</v>
      </c>
      <c r="L71" s="465"/>
      <c r="M71" s="51" t="s">
        <v>272</v>
      </c>
      <c r="N71" s="466" t="s">
        <v>191</v>
      </c>
      <c r="O71" s="466"/>
      <c r="P71" s="467"/>
      <c r="Q71" s="467"/>
      <c r="R71" s="443" t="s">
        <v>444</v>
      </c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116</v>
      </c>
      <c r="D72" s="340"/>
      <c r="E72" s="337" t="s">
        <v>121</v>
      </c>
      <c r="F72" s="464" t="s">
        <v>492</v>
      </c>
      <c r="G72" s="465"/>
      <c r="H72" s="465"/>
      <c r="I72" s="465"/>
      <c r="J72" s="465"/>
      <c r="K72" s="465" t="s">
        <v>132</v>
      </c>
      <c r="L72" s="465"/>
      <c r="M72" s="51" t="s">
        <v>272</v>
      </c>
      <c r="N72" s="466" t="s">
        <v>233</v>
      </c>
      <c r="O72" s="466"/>
      <c r="P72" s="467">
        <v>50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 t="s">
        <v>116</v>
      </c>
      <c r="D73" s="340"/>
      <c r="E73" s="337" t="s">
        <v>133</v>
      </c>
      <c r="F73" s="464" t="s">
        <v>493</v>
      </c>
      <c r="G73" s="465"/>
      <c r="H73" s="465"/>
      <c r="I73" s="465"/>
      <c r="J73" s="465"/>
      <c r="K73" s="465" t="s">
        <v>240</v>
      </c>
      <c r="L73" s="465"/>
      <c r="M73" s="51" t="s">
        <v>272</v>
      </c>
      <c r="N73" s="466" t="s">
        <v>233</v>
      </c>
      <c r="O73" s="466"/>
      <c r="P73" s="467"/>
      <c r="Q73" s="467"/>
      <c r="R73" s="443" t="s">
        <v>494</v>
      </c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 t="s">
        <v>130</v>
      </c>
      <c r="D74" s="340"/>
      <c r="E74" s="337" t="s">
        <v>288</v>
      </c>
      <c r="F74" s="469" t="s">
        <v>285</v>
      </c>
      <c r="G74" s="470"/>
      <c r="H74" s="470"/>
      <c r="I74" s="470"/>
      <c r="J74" s="471"/>
      <c r="K74" s="465">
        <v>8301</v>
      </c>
      <c r="L74" s="465"/>
      <c r="M74" s="51" t="s">
        <v>214</v>
      </c>
      <c r="N74" s="466" t="s">
        <v>184</v>
      </c>
      <c r="O74" s="466"/>
      <c r="P74" s="467">
        <v>50</v>
      </c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340"/>
      <c r="E75" s="337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340"/>
      <c r="E76" s="337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340"/>
      <c r="E77" s="337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340"/>
      <c r="E78" s="337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340"/>
      <c r="E79" s="337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340"/>
      <c r="E80" s="337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495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339" t="s">
        <v>2</v>
      </c>
      <c r="D82" s="339" t="s">
        <v>37</v>
      </c>
      <c r="E82" s="339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341"/>
      <c r="D83" s="341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340"/>
      <c r="D84" s="340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11">A84+1</f>
        <v>3</v>
      </c>
      <c r="B85" s="481"/>
      <c r="C85" s="340"/>
      <c r="D85" s="340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11"/>
        <v>4</v>
      </c>
      <c r="B86" s="481"/>
      <c r="C86" s="340"/>
      <c r="D86" s="340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11"/>
        <v>5</v>
      </c>
      <c r="B87" s="481"/>
      <c r="C87" s="340"/>
      <c r="D87" s="340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11"/>
        <v>6</v>
      </c>
      <c r="B88" s="481"/>
      <c r="C88" s="340"/>
      <c r="D88" s="340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11"/>
        <v>7</v>
      </c>
      <c r="B89" s="481"/>
      <c r="C89" s="340"/>
      <c r="D89" s="340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496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D5D-A274-42C6-9C2C-7B1998553525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497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54" t="s">
        <v>17</v>
      </c>
      <c r="L5" s="354" t="s">
        <v>18</v>
      </c>
      <c r="M5" s="354" t="s">
        <v>19</v>
      </c>
      <c r="N5" s="3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13660</v>
      </c>
      <c r="K6" s="15">
        <f>L6+15136+17956+16756+15208+17656+23892</f>
        <v>120264</v>
      </c>
      <c r="L6" s="15">
        <f>2776*4+639*4</f>
        <v>13660</v>
      </c>
      <c r="M6" s="15">
        <f t="shared" ref="M6:M27" si="0">L6-N6</f>
        <v>13660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15</v>
      </c>
      <c r="Q6" s="40">
        <f t="shared" ref="Q6:Q27" si="3">SUM(R6:AA6)</f>
        <v>9</v>
      </c>
      <c r="R6" s="7"/>
      <c r="S6" s="6">
        <v>9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0.625</v>
      </c>
      <c r="AD6" s="10">
        <f t="shared" ref="AD6:AD27" si="6">AC6*AB6*(1-O6)</f>
        <v>0.625</v>
      </c>
      <c r="AE6" s="36">
        <f t="shared" ref="AE6:AE27" si="7">$AD$28</f>
        <v>0.40530303030303028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316</v>
      </c>
      <c r="E7" s="53" t="s">
        <v>462</v>
      </c>
      <c r="F7" s="30" t="s">
        <v>153</v>
      </c>
      <c r="G7" s="12">
        <v>1</v>
      </c>
      <c r="H7" s="13">
        <v>24</v>
      </c>
      <c r="I7" s="31">
        <v>6000</v>
      </c>
      <c r="J7" s="14">
        <v>761</v>
      </c>
      <c r="K7" s="15">
        <f>L7+5985+761</f>
        <v>6746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0.40530303030303028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112</v>
      </c>
      <c r="D8" s="52" t="s">
        <v>115</v>
      </c>
      <c r="E8" s="53" t="s">
        <v>399</v>
      </c>
      <c r="F8" s="30" t="s">
        <v>409</v>
      </c>
      <c r="G8" s="12">
        <v>1</v>
      </c>
      <c r="H8" s="13">
        <v>24</v>
      </c>
      <c r="I8" s="7">
        <v>100</v>
      </c>
      <c r="J8" s="14">
        <v>100</v>
      </c>
      <c r="K8" s="15">
        <f>L8+100</f>
        <v>100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0.40530303030303028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259</v>
      </c>
      <c r="E9" s="53" t="s">
        <v>410</v>
      </c>
      <c r="F9" s="30" t="s">
        <v>411</v>
      </c>
      <c r="G9" s="12">
        <v>1</v>
      </c>
      <c r="H9" s="13">
        <v>24</v>
      </c>
      <c r="I9" s="7">
        <v>30000</v>
      </c>
      <c r="J9" s="14">
        <v>2296</v>
      </c>
      <c r="K9" s="15">
        <f>L9+2149+1588+3170+3177+1793</f>
        <v>14173</v>
      </c>
      <c r="L9" s="15">
        <f>141+2155</f>
        <v>2296</v>
      </c>
      <c r="M9" s="15">
        <f t="shared" ref="M9" si="9">L9-N9</f>
        <v>2296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11</v>
      </c>
      <c r="Q9" s="40">
        <f t="shared" ref="Q9" si="12">SUM(R9:AA9)</f>
        <v>13</v>
      </c>
      <c r="R9" s="7"/>
      <c r="S9" s="6">
        <v>13</v>
      </c>
      <c r="T9" s="16"/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0.45833333333333331</v>
      </c>
      <c r="AD9" s="10">
        <f t="shared" ref="AD9" si="15">AC9*AB9*(1-O9)</f>
        <v>0.45833333333333331</v>
      </c>
      <c r="AE9" s="36">
        <f t="shared" si="7"/>
        <v>0.40530303030303028</v>
      </c>
      <c r="AF9" s="84">
        <f t="shared" ref="AF9" si="16">A9</f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121</v>
      </c>
      <c r="E10" s="53" t="s">
        <v>287</v>
      </c>
      <c r="F10" s="30" t="s">
        <v>132</v>
      </c>
      <c r="G10" s="33">
        <v>2</v>
      </c>
      <c r="H10" s="35">
        <v>24</v>
      </c>
      <c r="I10" s="7">
        <v>300</v>
      </c>
      <c r="J10" s="14">
        <v>300</v>
      </c>
      <c r="K10" s="15">
        <f>L10+300</f>
        <v>300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0.40530303030303028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221</v>
      </c>
      <c r="E11" s="53" t="s">
        <v>448</v>
      </c>
      <c r="F11" s="30" t="s">
        <v>220</v>
      </c>
      <c r="G11" s="33">
        <v>2</v>
      </c>
      <c r="H11" s="35">
        <v>24</v>
      </c>
      <c r="I11" s="7">
        <v>13000</v>
      </c>
      <c r="J11" s="14">
        <v>7306</v>
      </c>
      <c r="K11" s="15">
        <f>L11+7496+7306</f>
        <v>14802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0.40530303030303028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455</v>
      </c>
      <c r="F12" s="30" t="s">
        <v>123</v>
      </c>
      <c r="G12" s="12">
        <v>1</v>
      </c>
      <c r="H12" s="13">
        <v>22</v>
      </c>
      <c r="I12" s="31">
        <v>60000</v>
      </c>
      <c r="J12" s="5">
        <v>4725</v>
      </c>
      <c r="K12" s="15">
        <f>L12+5056+5299+5142</f>
        <v>20222</v>
      </c>
      <c r="L12" s="15">
        <f>2658+2067</f>
        <v>4725</v>
      </c>
      <c r="M12" s="15">
        <f t="shared" si="0"/>
        <v>4725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0.40530303030303028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481</v>
      </c>
      <c r="F13" s="30" t="s">
        <v>123</v>
      </c>
      <c r="G13" s="33">
        <v>2</v>
      </c>
      <c r="H13" s="35">
        <v>22</v>
      </c>
      <c r="I13" s="7">
        <v>30000</v>
      </c>
      <c r="J13" s="14">
        <v>6708</v>
      </c>
      <c r="K13" s="15">
        <f>L13</f>
        <v>6708</v>
      </c>
      <c r="L13" s="15">
        <f>3354*2</f>
        <v>6708</v>
      </c>
      <c r="M13" s="15">
        <f t="shared" si="0"/>
        <v>6708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6">
        <f t="shared" si="7"/>
        <v>0.40530303030303028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482</v>
      </c>
      <c r="F14" s="30" t="s">
        <v>457</v>
      </c>
      <c r="G14" s="33">
        <v>1</v>
      </c>
      <c r="H14" s="35">
        <v>30</v>
      </c>
      <c r="I14" s="7">
        <v>3500</v>
      </c>
      <c r="J14" s="5">
        <v>1335</v>
      </c>
      <c r="K14" s="15">
        <f>L14</f>
        <v>1335</v>
      </c>
      <c r="L14" s="15">
        <f>1335</f>
        <v>1335</v>
      </c>
      <c r="M14" s="15">
        <f t="shared" si="0"/>
        <v>1335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6">
        <f t="shared" si="7"/>
        <v>0.40530303030303028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0.40530303030303028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145</v>
      </c>
      <c r="D16" s="52"/>
      <c r="E16" s="53" t="s">
        <v>236</v>
      </c>
      <c r="F16" s="30" t="s">
        <v>146</v>
      </c>
      <c r="G16" s="12">
        <v>32</v>
      </c>
      <c r="H16" s="13">
        <v>24</v>
      </c>
      <c r="I16" s="7">
        <v>2000000</v>
      </c>
      <c r="J16" s="14">
        <v>357152</v>
      </c>
      <c r="K16" s="15">
        <f>L16+305888+365184</f>
        <v>1028224</v>
      </c>
      <c r="L16" s="15">
        <f>5939*32+5222*32</f>
        <v>357152</v>
      </c>
      <c r="M16" s="15">
        <f t="shared" si="0"/>
        <v>357152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0.40530303030303028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439</v>
      </c>
      <c r="E17" s="53" t="s">
        <v>440</v>
      </c>
      <c r="F17" s="30" t="s">
        <v>159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0.40530303030303028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116</v>
      </c>
      <c r="D18" s="52" t="s">
        <v>115</v>
      </c>
      <c r="E18" s="53" t="s">
        <v>483</v>
      </c>
      <c r="F18" s="30" t="s">
        <v>144</v>
      </c>
      <c r="G18" s="12">
        <v>1</v>
      </c>
      <c r="H18" s="13">
        <v>22</v>
      </c>
      <c r="I18" s="31">
        <v>1000</v>
      </c>
      <c r="J18" s="5">
        <v>2454</v>
      </c>
      <c r="K18" s="15">
        <f>L18</f>
        <v>2454</v>
      </c>
      <c r="L18" s="15">
        <v>2454</v>
      </c>
      <c r="M18" s="15">
        <f t="shared" si="0"/>
        <v>2454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>
        <v>14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0.40530303030303028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116</v>
      </c>
      <c r="D19" s="52" t="s">
        <v>259</v>
      </c>
      <c r="E19" s="53" t="s">
        <v>410</v>
      </c>
      <c r="F19" s="30" t="s">
        <v>411</v>
      </c>
      <c r="G19" s="12">
        <v>1</v>
      </c>
      <c r="H19" s="13">
        <v>24</v>
      </c>
      <c r="I19" s="7">
        <v>30000</v>
      </c>
      <c r="J19" s="14">
        <v>1793</v>
      </c>
      <c r="K19" s="15">
        <f>L19+2149+1588+3170+3177+1793</f>
        <v>11877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>
        <v>24</v>
      </c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0.40530303030303028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250000</v>
      </c>
      <c r="J20" s="14">
        <v>18744</v>
      </c>
      <c r="K20" s="15">
        <f>L20+16424+3460+8466+14048+14809+10420+6468+20028+25064+24256</f>
        <v>162187</v>
      </c>
      <c r="L20" s="15">
        <f>1876*4+2810*4</f>
        <v>18744</v>
      </c>
      <c r="M20" s="15">
        <f t="shared" si="0"/>
        <v>18744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0.40530303030303028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36320</v>
      </c>
      <c r="K21" s="15">
        <f>L21+30164+39608+36320</f>
        <v>106092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0.40530303030303028</v>
      </c>
      <c r="AF21" s="84">
        <f t="shared" si="8"/>
        <v>16</v>
      </c>
    </row>
    <row r="22" spans="1:32" ht="21.75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7" si="17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0.40530303030303028</v>
      </c>
      <c r="AF22" s="84">
        <f t="shared" si="8"/>
        <v>31</v>
      </c>
    </row>
    <row r="23" spans="1:32" ht="21.75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17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0.40530303030303028</v>
      </c>
      <c r="AF23" s="84">
        <f t="shared" si="8"/>
        <v>32</v>
      </c>
    </row>
    <row r="24" spans="1:32" ht="21.75" customHeight="1">
      <c r="A24" s="96">
        <v>33</v>
      </c>
      <c r="B24" s="11" t="s">
        <v>57</v>
      </c>
      <c r="C24" s="11" t="s">
        <v>116</v>
      </c>
      <c r="D24" s="52" t="s">
        <v>498</v>
      </c>
      <c r="E24" s="53" t="s">
        <v>484</v>
      </c>
      <c r="F24" s="12" t="s">
        <v>124</v>
      </c>
      <c r="G24" s="12">
        <v>4</v>
      </c>
      <c r="H24" s="35">
        <v>20</v>
      </c>
      <c r="I24" s="7">
        <v>60000</v>
      </c>
      <c r="J24" s="14">
        <v>23172</v>
      </c>
      <c r="K24" s="15">
        <f t="shared" si="17"/>
        <v>23172</v>
      </c>
      <c r="L24" s="15">
        <f>2642*4+3151*4</f>
        <v>23172</v>
      </c>
      <c r="M24" s="15">
        <f t="shared" si="0"/>
        <v>23172</v>
      </c>
      <c r="N24" s="15">
        <v>0</v>
      </c>
      <c r="O24" s="58">
        <f t="shared" si="1"/>
        <v>0</v>
      </c>
      <c r="P24" s="39">
        <f t="shared" si="2"/>
        <v>21</v>
      </c>
      <c r="Q24" s="40">
        <f t="shared" si="3"/>
        <v>3</v>
      </c>
      <c r="R24" s="7"/>
      <c r="S24" s="6"/>
      <c r="T24" s="16">
        <v>3</v>
      </c>
      <c r="U24" s="16"/>
      <c r="V24" s="120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0.875</v>
      </c>
      <c r="AD24" s="10">
        <f t="shared" si="6"/>
        <v>0.875</v>
      </c>
      <c r="AE24" s="36">
        <f t="shared" si="7"/>
        <v>0.40530303030303028</v>
      </c>
      <c r="AF24" s="84">
        <f t="shared" si="8"/>
        <v>33</v>
      </c>
    </row>
    <row r="25" spans="1:32" ht="21.75" customHeight="1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60000</v>
      </c>
      <c r="J25" s="14">
        <v>24016</v>
      </c>
      <c r="K25" s="15">
        <f t="shared" si="17"/>
        <v>24016</v>
      </c>
      <c r="L25" s="15">
        <f>2775*4+3229*4</f>
        <v>24016</v>
      </c>
      <c r="M25" s="15">
        <f t="shared" si="0"/>
        <v>24016</v>
      </c>
      <c r="N25" s="15">
        <v>0</v>
      </c>
      <c r="O25" s="58">
        <f t="shared" si="1"/>
        <v>0</v>
      </c>
      <c r="P25" s="39">
        <f t="shared" si="2"/>
        <v>21</v>
      </c>
      <c r="Q25" s="40">
        <f t="shared" si="3"/>
        <v>3</v>
      </c>
      <c r="R25" s="7"/>
      <c r="S25" s="6"/>
      <c r="T25" s="16">
        <v>3</v>
      </c>
      <c r="U25" s="16"/>
      <c r="V25" s="120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0.875</v>
      </c>
      <c r="AD25" s="10">
        <f t="shared" si="6"/>
        <v>0.875</v>
      </c>
      <c r="AE25" s="36">
        <f t="shared" si="7"/>
        <v>0.40530303030303028</v>
      </c>
      <c r="AF25" s="84">
        <f t="shared" si="8"/>
        <v>34</v>
      </c>
    </row>
    <row r="26" spans="1:32" ht="21.75" customHeight="1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24592</v>
      </c>
      <c r="K26" s="15">
        <f t="shared" si="17"/>
        <v>24592</v>
      </c>
      <c r="L26" s="15">
        <f>2903*4+3245*4</f>
        <v>24592</v>
      </c>
      <c r="M26" s="15">
        <f t="shared" si="0"/>
        <v>24592</v>
      </c>
      <c r="N26" s="15">
        <v>0</v>
      </c>
      <c r="O26" s="58">
        <f t="shared" si="1"/>
        <v>0</v>
      </c>
      <c r="P26" s="39">
        <f t="shared" si="2"/>
        <v>21</v>
      </c>
      <c r="Q26" s="40">
        <f t="shared" si="3"/>
        <v>3</v>
      </c>
      <c r="R26" s="7"/>
      <c r="S26" s="6"/>
      <c r="T26" s="16">
        <v>3</v>
      </c>
      <c r="U26" s="16"/>
      <c r="V26" s="120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0.875</v>
      </c>
      <c r="AD26" s="10">
        <f t="shared" si="6"/>
        <v>0.875</v>
      </c>
      <c r="AE26" s="36">
        <f t="shared" si="7"/>
        <v>0.40530303030303028</v>
      </c>
      <c r="AF26" s="84">
        <f t="shared" si="8"/>
        <v>35</v>
      </c>
    </row>
    <row r="27" spans="1:32" ht="21.75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489</v>
      </c>
      <c r="F27" s="12" t="s">
        <v>147</v>
      </c>
      <c r="G27" s="12">
        <v>4</v>
      </c>
      <c r="H27" s="35">
        <v>20</v>
      </c>
      <c r="I27" s="7">
        <v>60000</v>
      </c>
      <c r="J27" s="14">
        <v>20088</v>
      </c>
      <c r="K27" s="15">
        <f t="shared" si="17"/>
        <v>20088</v>
      </c>
      <c r="L27" s="15">
        <f>2081*4+2941*4</f>
        <v>20088</v>
      </c>
      <c r="M27" s="15">
        <f t="shared" si="0"/>
        <v>20088</v>
      </c>
      <c r="N27" s="15">
        <v>0</v>
      </c>
      <c r="O27" s="58">
        <f t="shared" si="1"/>
        <v>0</v>
      </c>
      <c r="P27" s="39">
        <f t="shared" si="2"/>
        <v>20</v>
      </c>
      <c r="Q27" s="40">
        <f t="shared" si="3"/>
        <v>4</v>
      </c>
      <c r="R27" s="7"/>
      <c r="S27" s="6"/>
      <c r="T27" s="16">
        <v>4</v>
      </c>
      <c r="U27" s="16"/>
      <c r="V27" s="120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0.83333333333333337</v>
      </c>
      <c r="AD27" s="10">
        <f t="shared" si="6"/>
        <v>0.83333333333333337</v>
      </c>
      <c r="AE27" s="36">
        <f t="shared" si="7"/>
        <v>0.40530303030303028</v>
      </c>
      <c r="AF27" s="84">
        <f t="shared" si="8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 t="shared" ref="I28:N28" si="18">SUM(I6:I27)</f>
        <v>3119900</v>
      </c>
      <c r="J28" s="19">
        <f t="shared" si="18"/>
        <v>549809</v>
      </c>
      <c r="K28" s="20">
        <f t="shared" si="18"/>
        <v>1660319</v>
      </c>
      <c r="L28" s="21">
        <f t="shared" si="18"/>
        <v>498942</v>
      </c>
      <c r="M28" s="20">
        <f t="shared" si="18"/>
        <v>498942</v>
      </c>
      <c r="N28" s="21">
        <f t="shared" si="18"/>
        <v>0</v>
      </c>
      <c r="O28" s="41">
        <f t="shared" si="1"/>
        <v>0</v>
      </c>
      <c r="P28" s="42">
        <f t="shared" ref="P28:AA28" si="19">SUM(P6:P27)</f>
        <v>214</v>
      </c>
      <c r="Q28" s="43">
        <f t="shared" si="19"/>
        <v>314</v>
      </c>
      <c r="R28" s="23">
        <f t="shared" si="19"/>
        <v>0</v>
      </c>
      <c r="S28" s="24">
        <f t="shared" si="19"/>
        <v>49</v>
      </c>
      <c r="T28" s="24">
        <f t="shared" si="19"/>
        <v>13</v>
      </c>
      <c r="U28" s="24">
        <f t="shared" si="19"/>
        <v>0</v>
      </c>
      <c r="V28" s="25">
        <f t="shared" si="19"/>
        <v>60</v>
      </c>
      <c r="W28" s="26">
        <f t="shared" si="19"/>
        <v>144</v>
      </c>
      <c r="X28" s="27">
        <f t="shared" si="19"/>
        <v>0</v>
      </c>
      <c r="Y28" s="27">
        <f t="shared" si="19"/>
        <v>0</v>
      </c>
      <c r="Z28" s="27">
        <f t="shared" si="19"/>
        <v>0</v>
      </c>
      <c r="AA28" s="27">
        <f t="shared" si="19"/>
        <v>48</v>
      </c>
      <c r="AB28" s="28">
        <f>AVERAGE(AB6:AB27)</f>
        <v>0.6</v>
      </c>
      <c r="AC28" s="4">
        <f>AVERAGE(AC6:AC27)</f>
        <v>0.40530303030303028</v>
      </c>
      <c r="AD28" s="4">
        <f>AVERAGE(AD6:AD27)</f>
        <v>0.40530303030303028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499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502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353" t="s">
        <v>46</v>
      </c>
      <c r="D57" s="353" t="s">
        <v>47</v>
      </c>
      <c r="E57" s="353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353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349" t="s">
        <v>223</v>
      </c>
      <c r="D58" s="349" t="s">
        <v>155</v>
      </c>
      <c r="E58" s="349" t="s">
        <v>325</v>
      </c>
      <c r="F58" s="437" t="s">
        <v>480</v>
      </c>
      <c r="G58" s="438"/>
      <c r="H58" s="438"/>
      <c r="I58" s="438"/>
      <c r="J58" s="438"/>
      <c r="K58" s="438"/>
      <c r="L58" s="438"/>
      <c r="M58" s="439"/>
      <c r="N58" s="352" t="s">
        <v>112</v>
      </c>
      <c r="O58" s="346" t="s">
        <v>196</v>
      </c>
      <c r="P58" s="440" t="s">
        <v>115</v>
      </c>
      <c r="Q58" s="441"/>
      <c r="R58" s="440" t="s">
        <v>503</v>
      </c>
      <c r="S58" s="442"/>
      <c r="T58" s="442"/>
      <c r="U58" s="441"/>
      <c r="V58" s="437" t="s">
        <v>122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116</v>
      </c>
      <c r="B59" s="436"/>
      <c r="C59" s="349" t="s">
        <v>233</v>
      </c>
      <c r="D59" s="349" t="s">
        <v>259</v>
      </c>
      <c r="E59" s="349" t="s">
        <v>401</v>
      </c>
      <c r="F59" s="437" t="s">
        <v>337</v>
      </c>
      <c r="G59" s="438"/>
      <c r="H59" s="438"/>
      <c r="I59" s="438"/>
      <c r="J59" s="438"/>
      <c r="K59" s="438"/>
      <c r="L59" s="438"/>
      <c r="M59" s="439"/>
      <c r="N59" s="352"/>
      <c r="O59" s="346"/>
      <c r="P59" s="440"/>
      <c r="Q59" s="441"/>
      <c r="R59" s="440"/>
      <c r="S59" s="442"/>
      <c r="T59" s="442"/>
      <c r="U59" s="441"/>
      <c r="V59" s="437"/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112</v>
      </c>
      <c r="B60" s="436"/>
      <c r="C60" s="349" t="s">
        <v>245</v>
      </c>
      <c r="D60" s="349" t="s">
        <v>259</v>
      </c>
      <c r="E60" s="349" t="s">
        <v>481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352"/>
      <c r="O60" s="346"/>
      <c r="P60" s="440"/>
      <c r="Q60" s="441"/>
      <c r="R60" s="440"/>
      <c r="S60" s="442"/>
      <c r="T60" s="442"/>
      <c r="U60" s="441"/>
      <c r="V60" s="437"/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349" t="s">
        <v>187</v>
      </c>
      <c r="D61" s="349" t="s">
        <v>115</v>
      </c>
      <c r="E61" s="349" t="s">
        <v>482</v>
      </c>
      <c r="F61" s="437" t="s">
        <v>122</v>
      </c>
      <c r="G61" s="438"/>
      <c r="H61" s="438"/>
      <c r="I61" s="438"/>
      <c r="J61" s="438"/>
      <c r="K61" s="438"/>
      <c r="L61" s="438"/>
      <c r="M61" s="439"/>
      <c r="N61" s="352"/>
      <c r="O61" s="346"/>
      <c r="P61" s="440"/>
      <c r="Q61" s="441"/>
      <c r="R61" s="440"/>
      <c r="S61" s="442"/>
      <c r="T61" s="442"/>
      <c r="U61" s="441"/>
      <c r="V61" s="437"/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116</v>
      </c>
      <c r="B62" s="436"/>
      <c r="C62" s="349" t="s">
        <v>196</v>
      </c>
      <c r="D62" s="349" t="s">
        <v>115</v>
      </c>
      <c r="E62" s="349" t="s">
        <v>483</v>
      </c>
      <c r="F62" s="437" t="s">
        <v>500</v>
      </c>
      <c r="G62" s="438"/>
      <c r="H62" s="438"/>
      <c r="I62" s="438"/>
      <c r="J62" s="438"/>
      <c r="K62" s="438"/>
      <c r="L62" s="438"/>
      <c r="M62" s="439"/>
      <c r="N62" s="352"/>
      <c r="O62" s="346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116</v>
      </c>
      <c r="B63" s="436"/>
      <c r="C63" s="349" t="s">
        <v>485</v>
      </c>
      <c r="D63" s="349" t="s">
        <v>501</v>
      </c>
      <c r="E63" s="349" t="s">
        <v>484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352"/>
      <c r="O63" s="346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116</v>
      </c>
      <c r="B64" s="436"/>
      <c r="C64" s="349" t="s">
        <v>486</v>
      </c>
      <c r="D64" s="349" t="s">
        <v>133</v>
      </c>
      <c r="E64" s="349" t="s">
        <v>137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352"/>
      <c r="O64" s="346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 t="s">
        <v>116</v>
      </c>
      <c r="B65" s="454"/>
      <c r="C65" s="348" t="s">
        <v>487</v>
      </c>
      <c r="D65" s="348" t="s">
        <v>121</v>
      </c>
      <c r="E65" s="349" t="s">
        <v>126</v>
      </c>
      <c r="F65" s="437" t="s">
        <v>122</v>
      </c>
      <c r="G65" s="438"/>
      <c r="H65" s="438"/>
      <c r="I65" s="438"/>
      <c r="J65" s="438"/>
      <c r="K65" s="438"/>
      <c r="L65" s="438"/>
      <c r="M65" s="439"/>
      <c r="N65" s="352"/>
      <c r="O65" s="346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 t="s">
        <v>116</v>
      </c>
      <c r="B66" s="454"/>
      <c r="C66" s="348" t="s">
        <v>488</v>
      </c>
      <c r="D66" s="348" t="s">
        <v>115</v>
      </c>
      <c r="E66" s="349" t="s">
        <v>489</v>
      </c>
      <c r="F66" s="437" t="s">
        <v>165</v>
      </c>
      <c r="G66" s="438"/>
      <c r="H66" s="438"/>
      <c r="I66" s="438"/>
      <c r="J66" s="438"/>
      <c r="K66" s="438"/>
      <c r="L66" s="438"/>
      <c r="M66" s="439"/>
      <c r="N66" s="352"/>
      <c r="O66" s="346"/>
      <c r="P66" s="436"/>
      <c r="Q66" s="436"/>
      <c r="R66" s="436"/>
      <c r="S66" s="436"/>
      <c r="T66" s="436"/>
      <c r="U66" s="436"/>
      <c r="V66" s="437"/>
      <c r="W66" s="438"/>
      <c r="X66" s="438"/>
      <c r="Y66" s="438"/>
      <c r="Z66" s="438"/>
      <c r="AA66" s="438"/>
      <c r="AB66" s="438"/>
      <c r="AC66" s="438"/>
      <c r="AD66" s="439"/>
      <c r="AF66" s="84">
        <f>8*3000</f>
        <v>24000</v>
      </c>
    </row>
    <row r="67" spans="1:32" ht="27" customHeight="1" thickBot="1">
      <c r="A67" s="445"/>
      <c r="B67" s="446"/>
      <c r="C67" s="350"/>
      <c r="D67" s="351"/>
      <c r="E67" s="350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504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347" t="s">
        <v>2</v>
      </c>
      <c r="D69" s="347" t="s">
        <v>37</v>
      </c>
      <c r="E69" s="347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347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116</v>
      </c>
      <c r="D70" s="342"/>
      <c r="E70" s="345" t="s">
        <v>430</v>
      </c>
      <c r="F70" s="464" t="s">
        <v>505</v>
      </c>
      <c r="G70" s="465"/>
      <c r="H70" s="465"/>
      <c r="I70" s="465"/>
      <c r="J70" s="465"/>
      <c r="K70" s="465">
        <v>7301</v>
      </c>
      <c r="L70" s="465"/>
      <c r="M70" s="51" t="s">
        <v>272</v>
      </c>
      <c r="N70" s="466" t="s">
        <v>191</v>
      </c>
      <c r="O70" s="466"/>
      <c r="P70" s="467">
        <v>50</v>
      </c>
      <c r="Q70" s="467"/>
      <c r="R70" s="443" t="s">
        <v>506</v>
      </c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116</v>
      </c>
      <c r="D71" s="342"/>
      <c r="E71" s="345" t="s">
        <v>259</v>
      </c>
      <c r="F71" s="464" t="s">
        <v>507</v>
      </c>
      <c r="G71" s="465"/>
      <c r="H71" s="465"/>
      <c r="I71" s="465"/>
      <c r="J71" s="465"/>
      <c r="K71" s="465">
        <v>7301</v>
      </c>
      <c r="L71" s="465"/>
      <c r="M71" s="51" t="s">
        <v>272</v>
      </c>
      <c r="N71" s="466" t="s">
        <v>225</v>
      </c>
      <c r="O71" s="466"/>
      <c r="P71" s="467">
        <v>50</v>
      </c>
      <c r="Q71" s="467"/>
      <c r="R71" s="443" t="s">
        <v>366</v>
      </c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 t="s">
        <v>509</v>
      </c>
      <c r="D72" s="342"/>
      <c r="E72" s="345" t="s">
        <v>155</v>
      </c>
      <c r="F72" s="464" t="s">
        <v>508</v>
      </c>
      <c r="G72" s="465"/>
      <c r="H72" s="465"/>
      <c r="I72" s="465"/>
      <c r="J72" s="465"/>
      <c r="K72" s="465" t="s">
        <v>153</v>
      </c>
      <c r="L72" s="465"/>
      <c r="M72" s="51" t="s">
        <v>272</v>
      </c>
      <c r="N72" s="466" t="s">
        <v>148</v>
      </c>
      <c r="O72" s="466"/>
      <c r="P72" s="467">
        <v>50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342"/>
      <c r="E73" s="345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342"/>
      <c r="E74" s="345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342"/>
      <c r="E75" s="345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342"/>
      <c r="E76" s="345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342"/>
      <c r="E77" s="345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342"/>
      <c r="E78" s="345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342"/>
      <c r="E79" s="345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510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344" t="s">
        <v>2</v>
      </c>
      <c r="D81" s="344" t="s">
        <v>37</v>
      </c>
      <c r="E81" s="344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343"/>
      <c r="D82" s="343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342"/>
      <c r="D83" s="342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20">A83+1</f>
        <v>3</v>
      </c>
      <c r="B84" s="481"/>
      <c r="C84" s="342"/>
      <c r="D84" s="342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20"/>
        <v>4</v>
      </c>
      <c r="B85" s="481"/>
      <c r="C85" s="342"/>
      <c r="D85" s="342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20"/>
        <v>5</v>
      </c>
      <c r="B86" s="481"/>
      <c r="C86" s="342"/>
      <c r="D86" s="342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20"/>
        <v>6</v>
      </c>
      <c r="B87" s="481"/>
      <c r="C87" s="342"/>
      <c r="D87" s="342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20"/>
        <v>7</v>
      </c>
      <c r="B88" s="481"/>
      <c r="C88" s="342"/>
      <c r="D88" s="342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511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CB0B-2A87-47EB-9D0E-281F24A0802F}">
  <sheetPr>
    <pageSetUpPr fitToPage="1"/>
  </sheetPr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512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55" t="s">
        <v>17</v>
      </c>
      <c r="L5" s="355" t="s">
        <v>18</v>
      </c>
      <c r="M5" s="355" t="s">
        <v>19</v>
      </c>
      <c r="N5" s="3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325</v>
      </c>
      <c r="F6" s="30" t="s">
        <v>334</v>
      </c>
      <c r="G6" s="12">
        <v>3</v>
      </c>
      <c r="H6" s="13">
        <v>24</v>
      </c>
      <c r="I6" s="31">
        <v>102000</v>
      </c>
      <c r="J6" s="14">
        <v>22144</v>
      </c>
      <c r="K6" s="15">
        <f>L6+15136+17956+16756+15208+17656+23892+13660</f>
        <v>142408</v>
      </c>
      <c r="L6" s="15">
        <f>2858*4+2678*4</f>
        <v>22144</v>
      </c>
      <c r="M6" s="15">
        <f t="shared" ref="M6:M28" si="0">L6-N6</f>
        <v>22144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23</v>
      </c>
      <c r="Q6" s="40">
        <f t="shared" ref="Q6:Q28" si="3">SUM(R6:AA6)</f>
        <v>1</v>
      </c>
      <c r="R6" s="7"/>
      <c r="S6" s="6">
        <v>1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0.95833333333333337</v>
      </c>
      <c r="AD6" s="10">
        <f t="shared" ref="AD6:AD28" si="6">AC6*AB6*(1-O6)</f>
        <v>0.95833333333333337</v>
      </c>
      <c r="AE6" s="36">
        <f t="shared" ref="AE6:AE28" si="7">$AD$29</f>
        <v>0.53442028985507239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316</v>
      </c>
      <c r="E7" s="53" t="s">
        <v>462</v>
      </c>
      <c r="F7" s="30" t="s">
        <v>153</v>
      </c>
      <c r="G7" s="12">
        <v>1</v>
      </c>
      <c r="H7" s="13">
        <v>24</v>
      </c>
      <c r="I7" s="31">
        <v>6000</v>
      </c>
      <c r="J7" s="14">
        <v>761</v>
      </c>
      <c r="K7" s="15">
        <f>L7+5985+761</f>
        <v>6746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0.53442028985507239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116</v>
      </c>
      <c r="D8" s="52" t="s">
        <v>115</v>
      </c>
      <c r="E8" s="53" t="s">
        <v>513</v>
      </c>
      <c r="F8" s="30" t="s">
        <v>132</v>
      </c>
      <c r="G8" s="12">
        <v>2</v>
      </c>
      <c r="H8" s="13">
        <v>24</v>
      </c>
      <c r="I8" s="7">
        <v>1000</v>
      </c>
      <c r="J8" s="14">
        <v>1614</v>
      </c>
      <c r="K8" s="15">
        <f>L8</f>
        <v>1614</v>
      </c>
      <c r="L8" s="15">
        <f>807*2</f>
        <v>1614</v>
      </c>
      <c r="M8" s="15">
        <f t="shared" si="0"/>
        <v>1614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0.53442028985507239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259</v>
      </c>
      <c r="E9" s="53" t="s">
        <v>410</v>
      </c>
      <c r="F9" s="30" t="s">
        <v>411</v>
      </c>
      <c r="G9" s="12">
        <v>1</v>
      </c>
      <c r="H9" s="13">
        <v>24</v>
      </c>
      <c r="I9" s="7">
        <v>30000</v>
      </c>
      <c r="J9" s="14">
        <v>5336</v>
      </c>
      <c r="K9" s="15">
        <f>L9+2149+1588+3170+3177+1793+2296</f>
        <v>19509</v>
      </c>
      <c r="L9" s="15">
        <f>2897+2439</f>
        <v>5336</v>
      </c>
      <c r="M9" s="15">
        <f t="shared" si="0"/>
        <v>5336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0.53442028985507239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157</v>
      </c>
      <c r="E10" s="53" t="s">
        <v>422</v>
      </c>
      <c r="F10" s="30" t="s">
        <v>132</v>
      </c>
      <c r="G10" s="33">
        <v>4</v>
      </c>
      <c r="H10" s="35">
        <v>24</v>
      </c>
      <c r="I10" s="7">
        <v>2000</v>
      </c>
      <c r="J10" s="14">
        <v>4228</v>
      </c>
      <c r="K10" s="15">
        <f>L10</f>
        <v>4228</v>
      </c>
      <c r="L10" s="15">
        <f>1057*4</f>
        <v>4228</v>
      </c>
      <c r="M10" s="15">
        <f t="shared" si="0"/>
        <v>4228</v>
      </c>
      <c r="N10" s="15">
        <v>0</v>
      </c>
      <c r="O10" s="58">
        <f t="shared" si="1"/>
        <v>0</v>
      </c>
      <c r="P10" s="39">
        <f t="shared" si="2"/>
        <v>5</v>
      </c>
      <c r="Q10" s="40">
        <f t="shared" si="3"/>
        <v>19</v>
      </c>
      <c r="R10" s="7"/>
      <c r="S10" s="6"/>
      <c r="T10" s="16"/>
      <c r="U10" s="16"/>
      <c r="V10" s="17"/>
      <c r="W10" s="5">
        <v>19</v>
      </c>
      <c r="X10" s="16"/>
      <c r="Y10" s="16"/>
      <c r="Z10" s="16"/>
      <c r="AA10" s="18"/>
      <c r="AB10" s="8">
        <f t="shared" si="4"/>
        <v>1</v>
      </c>
      <c r="AC10" s="9">
        <f t="shared" si="5"/>
        <v>0.20833333333333334</v>
      </c>
      <c r="AD10" s="10">
        <f t="shared" si="6"/>
        <v>0.20833333333333334</v>
      </c>
      <c r="AE10" s="36">
        <f t="shared" si="7"/>
        <v>0.53442028985507239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498</v>
      </c>
      <c r="E11" s="53" t="s">
        <v>423</v>
      </c>
      <c r="F11" s="30" t="s">
        <v>132</v>
      </c>
      <c r="G11" s="33">
        <v>2</v>
      </c>
      <c r="H11" s="35">
        <v>24</v>
      </c>
      <c r="I11" s="7">
        <v>1000</v>
      </c>
      <c r="J11" s="14">
        <v>1438</v>
      </c>
      <c r="K11" s="15">
        <f>L11</f>
        <v>1438</v>
      </c>
      <c r="L11" s="15">
        <f>719*2</f>
        <v>1438</v>
      </c>
      <c r="M11" s="15">
        <f t="shared" si="0"/>
        <v>1438</v>
      </c>
      <c r="N11" s="15">
        <v>0</v>
      </c>
      <c r="O11" s="58">
        <f t="shared" si="1"/>
        <v>0</v>
      </c>
      <c r="P11" s="39">
        <f t="shared" si="2"/>
        <v>5</v>
      </c>
      <c r="Q11" s="40">
        <f t="shared" si="3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6">
        <f t="shared" si="7"/>
        <v>0.53442028985507239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455</v>
      </c>
      <c r="F12" s="30" t="s">
        <v>123</v>
      </c>
      <c r="G12" s="12">
        <v>1</v>
      </c>
      <c r="H12" s="13">
        <v>22</v>
      </c>
      <c r="I12" s="31">
        <v>60000</v>
      </c>
      <c r="J12" s="5">
        <v>5285</v>
      </c>
      <c r="K12" s="15">
        <f>L12+5056+5299+5142+4725</f>
        <v>25507</v>
      </c>
      <c r="L12" s="15">
        <f>2695+2590</f>
        <v>5285</v>
      </c>
      <c r="M12" s="15">
        <f t="shared" si="0"/>
        <v>5285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0.53442028985507239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481</v>
      </c>
      <c r="F13" s="30" t="s">
        <v>123</v>
      </c>
      <c r="G13" s="33">
        <v>2</v>
      </c>
      <c r="H13" s="35">
        <v>22</v>
      </c>
      <c r="I13" s="7">
        <v>30000</v>
      </c>
      <c r="J13" s="14">
        <v>13390</v>
      </c>
      <c r="K13" s="15">
        <f>L13+6708</f>
        <v>20098</v>
      </c>
      <c r="L13" s="15">
        <f>3429*2+3266*2</f>
        <v>13390</v>
      </c>
      <c r="M13" s="15">
        <f t="shared" si="0"/>
        <v>13390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0.53442028985507239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482</v>
      </c>
      <c r="F14" s="30" t="s">
        <v>457</v>
      </c>
      <c r="G14" s="33">
        <v>1</v>
      </c>
      <c r="H14" s="35">
        <v>30</v>
      </c>
      <c r="I14" s="7">
        <v>3500</v>
      </c>
      <c r="J14" s="5">
        <v>1471</v>
      </c>
      <c r="K14" s="15">
        <f>L14+1335</f>
        <v>2806</v>
      </c>
      <c r="L14" s="15">
        <f>1471</f>
        <v>1471</v>
      </c>
      <c r="M14" s="15">
        <f t="shared" si="0"/>
        <v>1471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6">
        <f t="shared" si="7"/>
        <v>0.53442028985507239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0.53442028985507239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145</v>
      </c>
      <c r="D16" s="52"/>
      <c r="E16" s="53" t="s">
        <v>236</v>
      </c>
      <c r="F16" s="30" t="s">
        <v>146</v>
      </c>
      <c r="G16" s="12">
        <v>32</v>
      </c>
      <c r="H16" s="13">
        <v>24</v>
      </c>
      <c r="I16" s="7">
        <v>2000000</v>
      </c>
      <c r="J16" s="14">
        <v>391744</v>
      </c>
      <c r="K16" s="15">
        <f>L16+305888+365184+357152</f>
        <v>1419968</v>
      </c>
      <c r="L16" s="15">
        <f>5969*32+6273*32</f>
        <v>391744</v>
      </c>
      <c r="M16" s="15">
        <f t="shared" si="0"/>
        <v>391744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0.53442028985507239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439</v>
      </c>
      <c r="E17" s="53" t="s">
        <v>440</v>
      </c>
      <c r="F17" s="30" t="s">
        <v>159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0.53442028985507239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34" t="s">
        <v>112</v>
      </c>
      <c r="D18" s="52" t="s">
        <v>115</v>
      </c>
      <c r="E18" s="53" t="s">
        <v>503</v>
      </c>
      <c r="F18" s="30" t="s">
        <v>147</v>
      </c>
      <c r="G18" s="12">
        <v>2</v>
      </c>
      <c r="H18" s="13">
        <v>22</v>
      </c>
      <c r="I18" s="31">
        <v>30000</v>
      </c>
      <c r="J18" s="5">
        <v>9826</v>
      </c>
      <c r="K18" s="15">
        <f>L18</f>
        <v>9826</v>
      </c>
      <c r="L18" s="15">
        <f>2037*2+2876*2</f>
        <v>9826</v>
      </c>
      <c r="M18" s="15">
        <f t="shared" si="0"/>
        <v>9826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0.53442028985507239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116</v>
      </c>
      <c r="D19" s="52" t="s">
        <v>121</v>
      </c>
      <c r="E19" s="53" t="s">
        <v>269</v>
      </c>
      <c r="F19" s="30" t="s">
        <v>132</v>
      </c>
      <c r="G19" s="12">
        <v>2</v>
      </c>
      <c r="H19" s="13">
        <v>24</v>
      </c>
      <c r="I19" s="7">
        <v>1000</v>
      </c>
      <c r="J19" s="14">
        <v>1682</v>
      </c>
      <c r="K19" s="15">
        <f>L19</f>
        <v>1682</v>
      </c>
      <c r="L19" s="15">
        <f>841*2</f>
        <v>1682</v>
      </c>
      <c r="M19" s="15">
        <f t="shared" ref="M19" si="9">L19-N19</f>
        <v>1682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5</v>
      </c>
      <c r="Q19" s="40">
        <f t="shared" ref="Q19" si="12">SUM(R19:AA19)</f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0.20833333333333334</v>
      </c>
      <c r="AD19" s="10">
        <f t="shared" ref="AD19" si="15">AC19*AB19*(1-O19)</f>
        <v>0.20833333333333334</v>
      </c>
      <c r="AE19" s="36">
        <f t="shared" si="7"/>
        <v>0.53442028985507239</v>
      </c>
      <c r="AF19" s="84">
        <f t="shared" ref="AF19" si="16">A19</f>
        <v>14</v>
      </c>
    </row>
    <row r="20" spans="1:32" ht="27" customHeight="1">
      <c r="A20" s="96">
        <v>14</v>
      </c>
      <c r="B20" s="11" t="s">
        <v>57</v>
      </c>
      <c r="C20" s="34" t="s">
        <v>130</v>
      </c>
      <c r="D20" s="52" t="s">
        <v>432</v>
      </c>
      <c r="E20" s="53" t="s">
        <v>428</v>
      </c>
      <c r="F20" s="30" t="s">
        <v>124</v>
      </c>
      <c r="G20" s="12">
        <v>2</v>
      </c>
      <c r="H20" s="13">
        <v>24</v>
      </c>
      <c r="I20" s="7">
        <v>1000</v>
      </c>
      <c r="J20" s="14">
        <v>2120</v>
      </c>
      <c r="K20" s="15">
        <f>L20</f>
        <v>2120</v>
      </c>
      <c r="L20" s="15">
        <f>1060*2</f>
        <v>2120</v>
      </c>
      <c r="M20" s="15">
        <f t="shared" si="0"/>
        <v>2120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/>
      <c r="T20" s="16"/>
      <c r="U20" s="16"/>
      <c r="V20" s="17"/>
      <c r="W20" s="5">
        <v>19</v>
      </c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 t="shared" si="6"/>
        <v>0.20833333333333334</v>
      </c>
      <c r="AE20" s="36">
        <f t="shared" si="7"/>
        <v>0.53442028985507239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324</v>
      </c>
      <c r="F21" s="30" t="s">
        <v>124</v>
      </c>
      <c r="G21" s="33">
        <v>4</v>
      </c>
      <c r="H21" s="35">
        <v>24</v>
      </c>
      <c r="I21" s="7">
        <v>250000</v>
      </c>
      <c r="J21" s="14">
        <v>23224</v>
      </c>
      <c r="K21" s="15">
        <f>L21+16424+3460+8466+14048+14809+10420+6468+20028+25064+24256+18744</f>
        <v>185411</v>
      </c>
      <c r="L21" s="15">
        <f>3194*4+2612*4</f>
        <v>23224</v>
      </c>
      <c r="M21" s="15">
        <f t="shared" si="0"/>
        <v>23224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>
        <v>2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0.53442028985507239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328</v>
      </c>
      <c r="F22" s="12" t="s">
        <v>114</v>
      </c>
      <c r="G22" s="12">
        <v>4</v>
      </c>
      <c r="H22" s="35">
        <v>20</v>
      </c>
      <c r="I22" s="7">
        <v>300000</v>
      </c>
      <c r="J22" s="14">
        <v>36320</v>
      </c>
      <c r="K22" s="15">
        <f>L22+30164+39608+36320</f>
        <v>106092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0.53442028985507239</v>
      </c>
      <c r="AF22" s="84">
        <f t="shared" si="8"/>
        <v>16</v>
      </c>
    </row>
    <row r="23" spans="1:32" ht="21.75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0.53442028985507239</v>
      </c>
      <c r="AF23" s="84">
        <f t="shared" si="8"/>
        <v>31</v>
      </c>
    </row>
    <row r="24" spans="1:32" ht="21.75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0.53442028985507239</v>
      </c>
      <c r="AF24" s="84">
        <f t="shared" si="8"/>
        <v>32</v>
      </c>
    </row>
    <row r="25" spans="1:32" ht="21.75" customHeight="1">
      <c r="A25" s="96">
        <v>33</v>
      </c>
      <c r="B25" s="11" t="s">
        <v>57</v>
      </c>
      <c r="C25" s="11" t="s">
        <v>116</v>
      </c>
      <c r="D25" s="52" t="s">
        <v>498</v>
      </c>
      <c r="E25" s="53" t="s">
        <v>484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</f>
        <v>51296</v>
      </c>
      <c r="L25" s="15">
        <f>3531*4+3500*4</f>
        <v>28124</v>
      </c>
      <c r="M25" s="15">
        <f t="shared" si="0"/>
        <v>28124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20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0.53442028985507239</v>
      </c>
      <c r="AF25" s="84">
        <f t="shared" si="8"/>
        <v>33</v>
      </c>
    </row>
    <row r="26" spans="1:32" ht="21.75" customHeight="1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</f>
        <v>50784</v>
      </c>
      <c r="L26" s="15">
        <f>3192*4+3500*4</f>
        <v>26768</v>
      </c>
      <c r="M26" s="15">
        <f t="shared" si="0"/>
        <v>26768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20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0.53442028985507239</v>
      </c>
      <c r="AF26" s="84">
        <f t="shared" si="8"/>
        <v>34</v>
      </c>
    </row>
    <row r="27" spans="1:32" ht="21.75" customHeight="1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</f>
        <v>51536</v>
      </c>
      <c r="L27" s="15">
        <f>3236*4+3500*4</f>
        <v>26944</v>
      </c>
      <c r="M27" s="15">
        <f t="shared" si="0"/>
        <v>26944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20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0.53442028985507239</v>
      </c>
      <c r="AF27" s="84">
        <f t="shared" si="8"/>
        <v>35</v>
      </c>
    </row>
    <row r="28" spans="1:32" ht="21.75" customHeight="1" thickBot="1">
      <c r="A28" s="96">
        <v>36</v>
      </c>
      <c r="B28" s="11" t="s">
        <v>57</v>
      </c>
      <c r="C28" s="11" t="s">
        <v>116</v>
      </c>
      <c r="D28" s="52" t="s">
        <v>115</v>
      </c>
      <c r="E28" s="53" t="s">
        <v>489</v>
      </c>
      <c r="F28" s="12" t="s">
        <v>147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</f>
        <v>46280</v>
      </c>
      <c r="L28" s="15">
        <f>3000*4+3548*4</f>
        <v>26192</v>
      </c>
      <c r="M28" s="15">
        <f t="shared" si="0"/>
        <v>26192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20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6"/>
        <v>1</v>
      </c>
      <c r="AE28" s="36">
        <f t="shared" si="7"/>
        <v>0.53442028985507239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8">SUM(I6:I28)</f>
        <v>3111500</v>
      </c>
      <c r="J29" s="19">
        <f t="shared" si="18"/>
        <v>632898</v>
      </c>
      <c r="K29" s="20">
        <f t="shared" si="18"/>
        <v>2222316</v>
      </c>
      <c r="L29" s="21">
        <f t="shared" si="18"/>
        <v>591530</v>
      </c>
      <c r="M29" s="20">
        <f t="shared" si="18"/>
        <v>591530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295</v>
      </c>
      <c r="Q29" s="43">
        <f t="shared" si="19"/>
        <v>257</v>
      </c>
      <c r="R29" s="23">
        <f t="shared" si="19"/>
        <v>0</v>
      </c>
      <c r="S29" s="24">
        <f t="shared" si="19"/>
        <v>6</v>
      </c>
      <c r="T29" s="24">
        <f t="shared" si="19"/>
        <v>0</v>
      </c>
      <c r="U29" s="24">
        <f t="shared" si="19"/>
        <v>0</v>
      </c>
      <c r="V29" s="25">
        <f t="shared" si="19"/>
        <v>36</v>
      </c>
      <c r="W29" s="26">
        <f t="shared" si="19"/>
        <v>191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24</v>
      </c>
      <c r="AB29" s="28">
        <f>AVERAGE(AB6:AB28)</f>
        <v>0.80952380952380953</v>
      </c>
      <c r="AC29" s="4">
        <f>AVERAGE(AC6:AC28)</f>
        <v>0.53442028985507239</v>
      </c>
      <c r="AD29" s="4">
        <f>AVERAGE(AD6:AD28)</f>
        <v>0.53442028985507239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514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516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356" t="s">
        <v>46</v>
      </c>
      <c r="D58" s="356" t="s">
        <v>47</v>
      </c>
      <c r="E58" s="356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356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358" t="s">
        <v>223</v>
      </c>
      <c r="D59" s="358" t="s">
        <v>155</v>
      </c>
      <c r="E59" s="358" t="s">
        <v>325</v>
      </c>
      <c r="F59" s="437" t="s">
        <v>515</v>
      </c>
      <c r="G59" s="438"/>
      <c r="H59" s="438"/>
      <c r="I59" s="438"/>
      <c r="J59" s="438"/>
      <c r="K59" s="438"/>
      <c r="L59" s="438"/>
      <c r="M59" s="439"/>
      <c r="N59" s="357" t="s">
        <v>116</v>
      </c>
      <c r="O59" s="364" t="s">
        <v>191</v>
      </c>
      <c r="P59" s="440" t="s">
        <v>133</v>
      </c>
      <c r="Q59" s="441"/>
      <c r="R59" s="440" t="s">
        <v>427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116</v>
      </c>
      <c r="B60" s="436"/>
      <c r="C60" s="358" t="s">
        <v>191</v>
      </c>
      <c r="D60" s="358" t="s">
        <v>115</v>
      </c>
      <c r="E60" s="358" t="s">
        <v>513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357" t="s">
        <v>116</v>
      </c>
      <c r="O60" s="364" t="s">
        <v>225</v>
      </c>
      <c r="P60" s="440" t="s">
        <v>259</v>
      </c>
      <c r="Q60" s="441"/>
      <c r="R60" s="440" t="s">
        <v>425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358" t="s">
        <v>199</v>
      </c>
      <c r="D61" s="358" t="s">
        <v>157</v>
      </c>
      <c r="E61" s="358" t="s">
        <v>422</v>
      </c>
      <c r="F61" s="437" t="s">
        <v>122</v>
      </c>
      <c r="G61" s="438"/>
      <c r="H61" s="438"/>
      <c r="I61" s="438"/>
      <c r="J61" s="438"/>
      <c r="K61" s="438"/>
      <c r="L61" s="438"/>
      <c r="M61" s="439"/>
      <c r="N61" s="357" t="s">
        <v>130</v>
      </c>
      <c r="O61" s="364" t="s">
        <v>191</v>
      </c>
      <c r="P61" s="440" t="s">
        <v>431</v>
      </c>
      <c r="Q61" s="441"/>
      <c r="R61" s="440" t="s">
        <v>424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116</v>
      </c>
      <c r="B62" s="436"/>
      <c r="C62" s="358" t="s">
        <v>225</v>
      </c>
      <c r="D62" s="358" t="s">
        <v>430</v>
      </c>
      <c r="E62" s="358" t="s">
        <v>423</v>
      </c>
      <c r="F62" s="437" t="s">
        <v>122</v>
      </c>
      <c r="G62" s="438"/>
      <c r="H62" s="438"/>
      <c r="I62" s="438"/>
      <c r="J62" s="438"/>
      <c r="K62" s="438"/>
      <c r="L62" s="438"/>
      <c r="M62" s="439"/>
      <c r="N62" s="357"/>
      <c r="O62" s="364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116</v>
      </c>
      <c r="B63" s="436"/>
      <c r="C63" s="358" t="s">
        <v>234</v>
      </c>
      <c r="D63" s="358" t="s">
        <v>121</v>
      </c>
      <c r="E63" s="358" t="s">
        <v>269</v>
      </c>
      <c r="F63" s="437" t="s">
        <v>122</v>
      </c>
      <c r="G63" s="438"/>
      <c r="H63" s="438"/>
      <c r="I63" s="438"/>
      <c r="J63" s="438"/>
      <c r="K63" s="438"/>
      <c r="L63" s="438"/>
      <c r="M63" s="439"/>
      <c r="N63" s="357"/>
      <c r="O63" s="364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130</v>
      </c>
      <c r="B64" s="436"/>
      <c r="C64" s="358" t="s">
        <v>234</v>
      </c>
      <c r="D64" s="358" t="s">
        <v>432</v>
      </c>
      <c r="E64" s="358" t="s">
        <v>428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357"/>
      <c r="O64" s="364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 t="s">
        <v>112</v>
      </c>
      <c r="B65" s="436"/>
      <c r="C65" s="358" t="s">
        <v>196</v>
      </c>
      <c r="D65" s="358" t="s">
        <v>115</v>
      </c>
      <c r="E65" s="358" t="s">
        <v>503</v>
      </c>
      <c r="F65" s="437" t="s">
        <v>416</v>
      </c>
      <c r="G65" s="438"/>
      <c r="H65" s="438"/>
      <c r="I65" s="438"/>
      <c r="J65" s="438"/>
      <c r="K65" s="438"/>
      <c r="L65" s="438"/>
      <c r="M65" s="439"/>
      <c r="N65" s="357"/>
      <c r="O65" s="364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361"/>
      <c r="D66" s="361"/>
      <c r="E66" s="358"/>
      <c r="F66" s="437"/>
      <c r="G66" s="438"/>
      <c r="H66" s="438"/>
      <c r="I66" s="438"/>
      <c r="J66" s="438"/>
      <c r="K66" s="438"/>
      <c r="L66" s="438"/>
      <c r="M66" s="439"/>
      <c r="N66" s="357"/>
      <c r="O66" s="364"/>
      <c r="P66" s="440"/>
      <c r="Q66" s="441"/>
      <c r="R66" s="440"/>
      <c r="S66" s="442"/>
      <c r="T66" s="442"/>
      <c r="U66" s="441"/>
      <c r="V66" s="437"/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361"/>
      <c r="D67" s="361"/>
      <c r="E67" s="358"/>
      <c r="F67" s="437"/>
      <c r="G67" s="438"/>
      <c r="H67" s="438"/>
      <c r="I67" s="438"/>
      <c r="J67" s="438"/>
      <c r="K67" s="438"/>
      <c r="L67" s="438"/>
      <c r="M67" s="439"/>
      <c r="N67" s="357"/>
      <c r="O67" s="364"/>
      <c r="P67" s="436"/>
      <c r="Q67" s="436"/>
      <c r="R67" s="436"/>
      <c r="S67" s="436"/>
      <c r="T67" s="436"/>
      <c r="U67" s="436"/>
      <c r="V67" s="437"/>
      <c r="W67" s="438"/>
      <c r="X67" s="438"/>
      <c r="Y67" s="438"/>
      <c r="Z67" s="438"/>
      <c r="AA67" s="438"/>
      <c r="AB67" s="438"/>
      <c r="AC67" s="438"/>
      <c r="AD67" s="439"/>
      <c r="AF67" s="84">
        <f>8*3000</f>
        <v>24000</v>
      </c>
    </row>
    <row r="68" spans="1:32" ht="27" customHeight="1" thickBot="1">
      <c r="A68" s="445"/>
      <c r="B68" s="446"/>
      <c r="C68" s="359"/>
      <c r="D68" s="360"/>
      <c r="E68" s="359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517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362" t="s">
        <v>2</v>
      </c>
      <c r="D70" s="362" t="s">
        <v>37</v>
      </c>
      <c r="E70" s="362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362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116</v>
      </c>
      <c r="D71" s="366"/>
      <c r="E71" s="363" t="s">
        <v>155</v>
      </c>
      <c r="F71" s="464" t="s">
        <v>518</v>
      </c>
      <c r="G71" s="465"/>
      <c r="H71" s="465"/>
      <c r="I71" s="465"/>
      <c r="J71" s="465"/>
      <c r="K71" s="465" t="s">
        <v>520</v>
      </c>
      <c r="L71" s="465"/>
      <c r="M71" s="51" t="s">
        <v>272</v>
      </c>
      <c r="N71" s="466" t="s">
        <v>148</v>
      </c>
      <c r="O71" s="466"/>
      <c r="P71" s="467">
        <v>50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116</v>
      </c>
      <c r="D72" s="366"/>
      <c r="E72" s="363" t="s">
        <v>133</v>
      </c>
      <c r="F72" s="464" t="s">
        <v>493</v>
      </c>
      <c r="G72" s="465"/>
      <c r="H72" s="465"/>
      <c r="I72" s="465"/>
      <c r="J72" s="465"/>
      <c r="K72" s="465" t="s">
        <v>240</v>
      </c>
      <c r="L72" s="465"/>
      <c r="M72" s="51" t="s">
        <v>272</v>
      </c>
      <c r="N72" s="466" t="s">
        <v>225</v>
      </c>
      <c r="O72" s="466"/>
      <c r="P72" s="467">
        <v>50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 t="s">
        <v>112</v>
      </c>
      <c r="D73" s="366"/>
      <c r="E73" s="363" t="s">
        <v>221</v>
      </c>
      <c r="F73" s="464" t="s">
        <v>519</v>
      </c>
      <c r="G73" s="465"/>
      <c r="H73" s="465"/>
      <c r="I73" s="465"/>
      <c r="J73" s="465"/>
      <c r="K73" s="465" t="s">
        <v>132</v>
      </c>
      <c r="L73" s="465"/>
      <c r="M73" s="51" t="s">
        <v>292</v>
      </c>
      <c r="N73" s="466" t="s">
        <v>225</v>
      </c>
      <c r="O73" s="466"/>
      <c r="P73" s="467">
        <v>100</v>
      </c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/>
      <c r="D74" s="366"/>
      <c r="E74" s="363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366"/>
      <c r="E75" s="363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366"/>
      <c r="E76" s="363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366"/>
      <c r="E77" s="363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366"/>
      <c r="E78" s="363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366"/>
      <c r="E79" s="363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366"/>
      <c r="E80" s="363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521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365" t="s">
        <v>2</v>
      </c>
      <c r="D82" s="365" t="s">
        <v>37</v>
      </c>
      <c r="E82" s="365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367"/>
      <c r="D83" s="367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366"/>
      <c r="D84" s="366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20">A84+1</f>
        <v>3</v>
      </c>
      <c r="B85" s="481"/>
      <c r="C85" s="366"/>
      <c r="D85" s="366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20"/>
        <v>4</v>
      </c>
      <c r="B86" s="481"/>
      <c r="C86" s="366"/>
      <c r="D86" s="366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20"/>
        <v>5</v>
      </c>
      <c r="B87" s="481"/>
      <c r="C87" s="366"/>
      <c r="D87" s="366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20"/>
        <v>6</v>
      </c>
      <c r="B88" s="481"/>
      <c r="C88" s="366"/>
      <c r="D88" s="366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20"/>
        <v>7</v>
      </c>
      <c r="B89" s="481"/>
      <c r="C89" s="366"/>
      <c r="D89" s="366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522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BBCF-8F70-4390-8C56-08D449A2E4C0}">
  <sheetPr>
    <pageSetUpPr fitToPage="1"/>
  </sheetPr>
  <dimension ref="A1:AF94"/>
  <sheetViews>
    <sheetView view="pageBreakPreview" zoomScale="70" zoomScaleNormal="72" zoomScaleSheetLayoutView="70" workbookViewId="0">
      <selection activeCell="S18" sqref="S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523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80" t="s">
        <v>17</v>
      </c>
      <c r="L5" s="380" t="s">
        <v>18</v>
      </c>
      <c r="M5" s="380" t="s">
        <v>19</v>
      </c>
      <c r="N5" s="38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130</v>
      </c>
      <c r="D6" s="52" t="s">
        <v>288</v>
      </c>
      <c r="E6" s="53" t="s">
        <v>314</v>
      </c>
      <c r="F6" s="30" t="s">
        <v>289</v>
      </c>
      <c r="G6" s="12">
        <v>1</v>
      </c>
      <c r="H6" s="13">
        <v>24</v>
      </c>
      <c r="I6" s="31">
        <v>1000</v>
      </c>
      <c r="J6" s="14">
        <v>1913</v>
      </c>
      <c r="K6" s="15">
        <f>L6</f>
        <v>1913</v>
      </c>
      <c r="L6" s="15">
        <f>313+1600</f>
        <v>1913</v>
      </c>
      <c r="M6" s="15">
        <f t="shared" ref="M6:M28" si="0">L6-N6</f>
        <v>1913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12</v>
      </c>
      <c r="Q6" s="40">
        <f t="shared" ref="Q6:Q28" si="3">SUM(R6:AA6)</f>
        <v>12</v>
      </c>
      <c r="R6" s="7"/>
      <c r="S6" s="6"/>
      <c r="T6" s="16">
        <v>8</v>
      </c>
      <c r="U6" s="16"/>
      <c r="V6" s="17"/>
      <c r="W6" s="5">
        <v>4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0.5</v>
      </c>
      <c r="AD6" s="10">
        <f t="shared" ref="AD6:AD28" si="6">AC6*AB6*(1-O6)</f>
        <v>0.5</v>
      </c>
      <c r="AE6" s="36">
        <f t="shared" ref="AE6:AE28" si="7">$AD$29</f>
        <v>0.46053308631824036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316</v>
      </c>
      <c r="E7" s="53" t="s">
        <v>462</v>
      </c>
      <c r="F7" s="30" t="s">
        <v>153</v>
      </c>
      <c r="G7" s="12">
        <v>1</v>
      </c>
      <c r="H7" s="13">
        <v>24</v>
      </c>
      <c r="I7" s="31">
        <v>6000</v>
      </c>
      <c r="J7" s="14">
        <v>761</v>
      </c>
      <c r="K7" s="15">
        <f>L7+5985+761</f>
        <v>6746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0.46053308631824036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116</v>
      </c>
      <c r="D8" s="52" t="s">
        <v>115</v>
      </c>
      <c r="E8" s="53" t="s">
        <v>427</v>
      </c>
      <c r="F8" s="30" t="s">
        <v>132</v>
      </c>
      <c r="G8" s="12">
        <v>2</v>
      </c>
      <c r="H8" s="13">
        <v>24</v>
      </c>
      <c r="I8" s="7">
        <v>1000</v>
      </c>
      <c r="J8" s="14">
        <v>1614</v>
      </c>
      <c r="K8" s="15">
        <f>L8</f>
        <v>1614</v>
      </c>
      <c r="L8" s="15">
        <f>807*2</f>
        <v>1614</v>
      </c>
      <c r="M8" s="15">
        <f t="shared" si="0"/>
        <v>1614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0.46053308631824036</v>
      </c>
      <c r="AF8" s="84">
        <f t="shared" si="8"/>
        <v>3</v>
      </c>
    </row>
    <row r="9" spans="1:32" ht="27" customHeight="1">
      <c r="A9" s="112">
        <v>3</v>
      </c>
      <c r="B9" s="11" t="s">
        <v>57</v>
      </c>
      <c r="C9" s="34" t="s">
        <v>130</v>
      </c>
      <c r="D9" s="52"/>
      <c r="E9" s="53" t="s">
        <v>431</v>
      </c>
      <c r="F9" s="30" t="s">
        <v>114</v>
      </c>
      <c r="G9" s="12">
        <v>1</v>
      </c>
      <c r="H9" s="13">
        <v>24</v>
      </c>
      <c r="I9" s="7">
        <v>1000</v>
      </c>
      <c r="J9" s="14">
        <v>1156</v>
      </c>
      <c r="K9" s="15">
        <f>L9</f>
        <v>1156</v>
      </c>
      <c r="L9" s="15">
        <v>1156</v>
      </c>
      <c r="M9" s="15">
        <f t="shared" ref="M9" si="9">L9-N9</f>
        <v>1156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5</v>
      </c>
      <c r="Q9" s="40">
        <f t="shared" ref="Q9" si="12">SUM(R9:AA9)</f>
        <v>19</v>
      </c>
      <c r="R9" s="7"/>
      <c r="S9" s="6"/>
      <c r="T9" s="16"/>
      <c r="U9" s="16"/>
      <c r="V9" s="17"/>
      <c r="W9" s="5">
        <v>19</v>
      </c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0.20833333333333334</v>
      </c>
      <c r="AD9" s="10">
        <f t="shared" ref="AD9" si="15">AC9*AB9*(1-O9)</f>
        <v>0.20833333333333334</v>
      </c>
      <c r="AE9" s="36">
        <f t="shared" si="7"/>
        <v>0.46053308631824036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259</v>
      </c>
      <c r="E10" s="53" t="s">
        <v>410</v>
      </c>
      <c r="F10" s="30" t="s">
        <v>411</v>
      </c>
      <c r="G10" s="12">
        <v>1</v>
      </c>
      <c r="H10" s="13">
        <v>24</v>
      </c>
      <c r="I10" s="7">
        <v>30000</v>
      </c>
      <c r="J10" s="14">
        <v>5578</v>
      </c>
      <c r="K10" s="15">
        <f>L10+2149+1588+3170+3177+1793+2296+5336</f>
        <v>25087</v>
      </c>
      <c r="L10" s="15">
        <f>2745+2833</f>
        <v>5578</v>
      </c>
      <c r="M10" s="15">
        <f t="shared" si="0"/>
        <v>5578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0.46053308631824036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116</v>
      </c>
      <c r="D11" s="52" t="s">
        <v>157</v>
      </c>
      <c r="E11" s="53" t="s">
        <v>422</v>
      </c>
      <c r="F11" s="30" t="s">
        <v>132</v>
      </c>
      <c r="G11" s="33">
        <v>4</v>
      </c>
      <c r="H11" s="35">
        <v>24</v>
      </c>
      <c r="I11" s="7">
        <v>2000</v>
      </c>
      <c r="J11" s="14">
        <v>4228</v>
      </c>
      <c r="K11" s="15">
        <f>L11+4228</f>
        <v>4228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0.46053308631824036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116</v>
      </c>
      <c r="D12" s="52" t="s">
        <v>498</v>
      </c>
      <c r="E12" s="53" t="s">
        <v>425</v>
      </c>
      <c r="F12" s="30" t="s">
        <v>144</v>
      </c>
      <c r="G12" s="33">
        <v>2</v>
      </c>
      <c r="H12" s="35">
        <v>24</v>
      </c>
      <c r="I12" s="7">
        <v>1000</v>
      </c>
      <c r="J12" s="14">
        <v>1642</v>
      </c>
      <c r="K12" s="15">
        <f>L12</f>
        <v>1642</v>
      </c>
      <c r="L12" s="15">
        <f>821*2</f>
        <v>1642</v>
      </c>
      <c r="M12" s="15">
        <f t="shared" si="0"/>
        <v>1642</v>
      </c>
      <c r="N12" s="15">
        <v>0</v>
      </c>
      <c r="O12" s="58">
        <f t="shared" si="1"/>
        <v>0</v>
      </c>
      <c r="P12" s="39">
        <f t="shared" si="2"/>
        <v>5</v>
      </c>
      <c r="Q12" s="40">
        <f t="shared" si="3"/>
        <v>19</v>
      </c>
      <c r="R12" s="7"/>
      <c r="S12" s="6"/>
      <c r="T12" s="16"/>
      <c r="U12" s="16"/>
      <c r="V12" s="17"/>
      <c r="W12" s="5">
        <v>19</v>
      </c>
      <c r="X12" s="16"/>
      <c r="Y12" s="16"/>
      <c r="Z12" s="16"/>
      <c r="AA12" s="18"/>
      <c r="AB12" s="8">
        <f t="shared" si="4"/>
        <v>1</v>
      </c>
      <c r="AC12" s="9">
        <f t="shared" si="5"/>
        <v>0.20833333333333334</v>
      </c>
      <c r="AD12" s="10">
        <f t="shared" si="6"/>
        <v>0.20833333333333334</v>
      </c>
      <c r="AE12" s="36">
        <f t="shared" si="7"/>
        <v>0.46053308631824036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455</v>
      </c>
      <c r="F13" s="30" t="s">
        <v>123</v>
      </c>
      <c r="G13" s="12">
        <v>1</v>
      </c>
      <c r="H13" s="13">
        <v>22</v>
      </c>
      <c r="I13" s="31">
        <v>60000</v>
      </c>
      <c r="J13" s="5">
        <v>5308</v>
      </c>
      <c r="K13" s="15">
        <f>L13+5056+5299+5142+4725+5285</f>
        <v>30815</v>
      </c>
      <c r="L13" s="15">
        <f>2610+2698</f>
        <v>5308</v>
      </c>
      <c r="M13" s="15">
        <f t="shared" si="0"/>
        <v>5308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0.46053308631824036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259</v>
      </c>
      <c r="E14" s="53" t="s">
        <v>481</v>
      </c>
      <c r="F14" s="30" t="s">
        <v>123</v>
      </c>
      <c r="G14" s="33">
        <v>2</v>
      </c>
      <c r="H14" s="35">
        <v>22</v>
      </c>
      <c r="I14" s="7">
        <v>30000</v>
      </c>
      <c r="J14" s="14">
        <v>13428</v>
      </c>
      <c r="K14" s="15">
        <f>L14+6708+13390</f>
        <v>33526</v>
      </c>
      <c r="L14" s="15">
        <f>3306*2+3408*2</f>
        <v>13428</v>
      </c>
      <c r="M14" s="15">
        <f t="shared" si="0"/>
        <v>13428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0.46053308631824036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482</v>
      </c>
      <c r="F15" s="30" t="s">
        <v>457</v>
      </c>
      <c r="G15" s="33">
        <v>1</v>
      </c>
      <c r="H15" s="35">
        <v>30</v>
      </c>
      <c r="I15" s="7">
        <v>3500</v>
      </c>
      <c r="J15" s="5">
        <v>1250</v>
      </c>
      <c r="K15" s="15">
        <f>L15+1335+1471</f>
        <v>4056</v>
      </c>
      <c r="L15" s="15">
        <v>1250</v>
      </c>
      <c r="M15" s="15">
        <f t="shared" si="0"/>
        <v>1250</v>
      </c>
      <c r="N15" s="15">
        <v>0</v>
      </c>
      <c r="O15" s="58">
        <f t="shared" si="1"/>
        <v>0</v>
      </c>
      <c r="P15" s="39">
        <f t="shared" si="2"/>
        <v>12</v>
      </c>
      <c r="Q15" s="40">
        <f t="shared" si="3"/>
        <v>12</v>
      </c>
      <c r="R15" s="7"/>
      <c r="S15" s="6"/>
      <c r="T15" s="16"/>
      <c r="U15" s="16"/>
      <c r="V15" s="17">
        <v>12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</v>
      </c>
      <c r="AD15" s="10">
        <f t="shared" si="6"/>
        <v>0.5</v>
      </c>
      <c r="AE15" s="36">
        <f t="shared" si="7"/>
        <v>0.46053308631824036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0.46053308631824036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145</v>
      </c>
      <c r="D17" s="52"/>
      <c r="E17" s="53" t="s">
        <v>236</v>
      </c>
      <c r="F17" s="30" t="s">
        <v>146</v>
      </c>
      <c r="G17" s="12">
        <v>32</v>
      </c>
      <c r="H17" s="13">
        <v>24</v>
      </c>
      <c r="I17" s="7">
        <v>2000000</v>
      </c>
      <c r="J17" s="14">
        <v>392352</v>
      </c>
      <c r="K17" s="15">
        <f>L17+305888+365184+357152+391744</f>
        <v>1812320</v>
      </c>
      <c r="L17" s="15">
        <f>6011*32+6250*32</f>
        <v>392352</v>
      </c>
      <c r="M17" s="15">
        <f t="shared" si="0"/>
        <v>392352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0.46053308631824036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439</v>
      </c>
      <c r="E18" s="53" t="s">
        <v>440</v>
      </c>
      <c r="F18" s="30" t="s">
        <v>159</v>
      </c>
      <c r="G18" s="12">
        <v>1</v>
      </c>
      <c r="H18" s="13">
        <v>24</v>
      </c>
      <c r="I18" s="7">
        <v>2000</v>
      </c>
      <c r="J18" s="14">
        <v>4211</v>
      </c>
      <c r="K18" s="15">
        <f>L18+4211</f>
        <v>4211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0.46053308631824036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34" t="s">
        <v>112</v>
      </c>
      <c r="D19" s="52" t="s">
        <v>115</v>
      </c>
      <c r="E19" s="53" t="s">
        <v>503</v>
      </c>
      <c r="F19" s="30" t="s">
        <v>147</v>
      </c>
      <c r="G19" s="12">
        <v>2</v>
      </c>
      <c r="H19" s="13">
        <v>22</v>
      </c>
      <c r="I19" s="31">
        <v>30000</v>
      </c>
      <c r="J19" s="5">
        <v>11714</v>
      </c>
      <c r="K19" s="15">
        <f>L19+9826</f>
        <v>21540</v>
      </c>
      <c r="L19" s="15">
        <f>2882*2+2975*2</f>
        <v>11714</v>
      </c>
      <c r="M19" s="15">
        <f t="shared" si="0"/>
        <v>11714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0.46053308631824036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116</v>
      </c>
      <c r="D20" s="52" t="s">
        <v>121</v>
      </c>
      <c r="E20" s="53" t="s">
        <v>269</v>
      </c>
      <c r="F20" s="30" t="s">
        <v>132</v>
      </c>
      <c r="G20" s="12">
        <v>2</v>
      </c>
      <c r="H20" s="13">
        <v>24</v>
      </c>
      <c r="I20" s="7">
        <v>1000</v>
      </c>
      <c r="J20" s="14">
        <v>1682</v>
      </c>
      <c r="K20" s="15">
        <f>L20+1682</f>
        <v>1682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0.46053308631824036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324</v>
      </c>
      <c r="F21" s="30" t="s">
        <v>124</v>
      </c>
      <c r="G21" s="33">
        <v>4</v>
      </c>
      <c r="H21" s="35">
        <v>24</v>
      </c>
      <c r="I21" s="7">
        <v>250000</v>
      </c>
      <c r="J21" s="14">
        <v>19112</v>
      </c>
      <c r="K21" s="15">
        <f>L21+16424+3460+8466+14048+14809+10420+6468+20028+25064+24256+18744+23224</f>
        <v>204523</v>
      </c>
      <c r="L21" s="15">
        <f>1550*4+3228*4</f>
        <v>19112</v>
      </c>
      <c r="M21" s="15">
        <f t="shared" si="0"/>
        <v>19112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>
        <v>2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0.46053308631824036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328</v>
      </c>
      <c r="F22" s="12" t="s">
        <v>114</v>
      </c>
      <c r="G22" s="12">
        <v>4</v>
      </c>
      <c r="H22" s="35">
        <v>20</v>
      </c>
      <c r="I22" s="7">
        <v>300000</v>
      </c>
      <c r="J22" s="14">
        <v>36320</v>
      </c>
      <c r="K22" s="15">
        <f>L22+30164+39608+36320</f>
        <v>106092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0.46053308631824036</v>
      </c>
      <c r="AF22" s="84">
        <f t="shared" si="8"/>
        <v>16</v>
      </c>
    </row>
    <row r="23" spans="1:32" ht="21.75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0.46053308631824036</v>
      </c>
      <c r="AF23" s="84">
        <f t="shared" si="8"/>
        <v>31</v>
      </c>
    </row>
    <row r="24" spans="1:32" ht="21.75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0.46053308631824036</v>
      </c>
      <c r="AF24" s="84">
        <f t="shared" si="8"/>
        <v>32</v>
      </c>
    </row>
    <row r="25" spans="1:32" ht="21.75" customHeight="1">
      <c r="A25" s="96">
        <v>33</v>
      </c>
      <c r="B25" s="11" t="s">
        <v>57</v>
      </c>
      <c r="C25" s="11" t="s">
        <v>116</v>
      </c>
      <c r="D25" s="52" t="s">
        <v>498</v>
      </c>
      <c r="E25" s="53" t="s">
        <v>484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</f>
        <v>78688</v>
      </c>
      <c r="L25" s="15">
        <f>4440*4+2408*4</f>
        <v>27392</v>
      </c>
      <c r="M25" s="15">
        <f t="shared" si="0"/>
        <v>27392</v>
      </c>
      <c r="N25" s="15">
        <v>0</v>
      </c>
      <c r="O25" s="58">
        <f t="shared" si="1"/>
        <v>0</v>
      </c>
      <c r="P25" s="39">
        <f t="shared" si="2"/>
        <v>21</v>
      </c>
      <c r="Q25" s="40">
        <f t="shared" si="3"/>
        <v>3</v>
      </c>
      <c r="R25" s="7"/>
      <c r="S25" s="6"/>
      <c r="T25" s="16"/>
      <c r="U25" s="16"/>
      <c r="V25" s="120"/>
      <c r="W25" s="5">
        <v>3</v>
      </c>
      <c r="X25" s="16"/>
      <c r="Y25" s="16"/>
      <c r="Z25" s="16"/>
      <c r="AA25" s="18"/>
      <c r="AB25" s="8">
        <f t="shared" si="4"/>
        <v>0.97397240790783668</v>
      </c>
      <c r="AC25" s="9">
        <f t="shared" si="5"/>
        <v>0.875</v>
      </c>
      <c r="AD25" s="10">
        <f t="shared" si="6"/>
        <v>0.85222585691935704</v>
      </c>
      <c r="AE25" s="36">
        <f t="shared" si="7"/>
        <v>0.46053308631824036</v>
      </c>
      <c r="AF25" s="84">
        <f t="shared" si="8"/>
        <v>33</v>
      </c>
    </row>
    <row r="26" spans="1:32" ht="21.75" customHeight="1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</f>
        <v>73384</v>
      </c>
      <c r="L26" s="15">
        <f>4500*4+1150*4</f>
        <v>22600</v>
      </c>
      <c r="M26" s="15">
        <f t="shared" si="0"/>
        <v>22600</v>
      </c>
      <c r="N26" s="15">
        <v>0</v>
      </c>
      <c r="O26" s="58">
        <f t="shared" si="1"/>
        <v>0</v>
      </c>
      <c r="P26" s="39">
        <f t="shared" si="2"/>
        <v>20</v>
      </c>
      <c r="Q26" s="40">
        <f t="shared" si="3"/>
        <v>4</v>
      </c>
      <c r="R26" s="7"/>
      <c r="S26" s="6"/>
      <c r="T26" s="16"/>
      <c r="U26" s="16"/>
      <c r="V26" s="120"/>
      <c r="W26" s="5">
        <v>4</v>
      </c>
      <c r="X26" s="16"/>
      <c r="Y26" s="16"/>
      <c r="Z26" s="16"/>
      <c r="AA26" s="18"/>
      <c r="AB26" s="8">
        <f t="shared" si="4"/>
        <v>0.84429169157202633</v>
      </c>
      <c r="AC26" s="9">
        <f t="shared" si="5"/>
        <v>0.83333333333333337</v>
      </c>
      <c r="AD26" s="10">
        <f t="shared" si="6"/>
        <v>0.70357640964335533</v>
      </c>
      <c r="AE26" s="36">
        <f t="shared" si="7"/>
        <v>0.46053308631824036</v>
      </c>
      <c r="AF26" s="84">
        <f t="shared" si="8"/>
        <v>34</v>
      </c>
    </row>
    <row r="27" spans="1:32" ht="21.75" customHeight="1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</f>
        <v>73252</v>
      </c>
      <c r="L27" s="15">
        <f>4555*4+874*4</f>
        <v>21716</v>
      </c>
      <c r="M27" s="15">
        <f t="shared" si="0"/>
        <v>21716</v>
      </c>
      <c r="N27" s="15">
        <v>0</v>
      </c>
      <c r="O27" s="58">
        <f t="shared" si="1"/>
        <v>0</v>
      </c>
      <c r="P27" s="39">
        <f t="shared" si="2"/>
        <v>20</v>
      </c>
      <c r="Q27" s="40">
        <f t="shared" si="3"/>
        <v>4</v>
      </c>
      <c r="R27" s="7"/>
      <c r="S27" s="6"/>
      <c r="T27" s="16"/>
      <c r="U27" s="16"/>
      <c r="V27" s="120"/>
      <c r="W27" s="5">
        <v>4</v>
      </c>
      <c r="X27" s="16"/>
      <c r="Y27" s="16"/>
      <c r="Z27" s="16"/>
      <c r="AA27" s="18"/>
      <c r="AB27" s="8">
        <f t="shared" si="4"/>
        <v>0.80596793349168649</v>
      </c>
      <c r="AC27" s="9">
        <f t="shared" si="5"/>
        <v>0.83333333333333337</v>
      </c>
      <c r="AD27" s="10">
        <f t="shared" si="6"/>
        <v>0.67163994457640541</v>
      </c>
      <c r="AE27" s="36">
        <f t="shared" si="7"/>
        <v>0.46053308631824036</v>
      </c>
      <c r="AF27" s="84">
        <f t="shared" si="8"/>
        <v>35</v>
      </c>
    </row>
    <row r="28" spans="1:32" ht="21.75" customHeight="1" thickBot="1">
      <c r="A28" s="96">
        <v>36</v>
      </c>
      <c r="B28" s="11" t="s">
        <v>57</v>
      </c>
      <c r="C28" s="11" t="s">
        <v>116</v>
      </c>
      <c r="D28" s="52" t="s">
        <v>115</v>
      </c>
      <c r="E28" s="53" t="s">
        <v>489</v>
      </c>
      <c r="F28" s="12" t="s">
        <v>147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</f>
        <v>70920</v>
      </c>
      <c r="L28" s="15">
        <f>4105*4+2055*4</f>
        <v>24640</v>
      </c>
      <c r="M28" s="15">
        <f t="shared" si="0"/>
        <v>24640</v>
      </c>
      <c r="N28" s="15">
        <v>0</v>
      </c>
      <c r="O28" s="58">
        <f t="shared" si="1"/>
        <v>0</v>
      </c>
      <c r="P28" s="39">
        <f t="shared" si="2"/>
        <v>21</v>
      </c>
      <c r="Q28" s="40">
        <f t="shared" si="3"/>
        <v>3</v>
      </c>
      <c r="R28" s="7"/>
      <c r="S28" s="6"/>
      <c r="T28" s="16"/>
      <c r="U28" s="16"/>
      <c r="V28" s="120"/>
      <c r="W28" s="5">
        <v>3</v>
      </c>
      <c r="X28" s="16"/>
      <c r="Y28" s="16"/>
      <c r="Z28" s="16"/>
      <c r="AA28" s="18"/>
      <c r="AB28" s="8">
        <f t="shared" si="4"/>
        <v>0.94074526572999384</v>
      </c>
      <c r="AC28" s="9">
        <f t="shared" si="5"/>
        <v>0.875</v>
      </c>
      <c r="AD28" s="10">
        <f t="shared" si="6"/>
        <v>0.82315210751374457</v>
      </c>
      <c r="AE28" s="36">
        <f t="shared" si="7"/>
        <v>0.46053308631824036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8">SUM(I6:I28)</f>
        <v>3010500</v>
      </c>
      <c r="J29" s="19">
        <f t="shared" si="18"/>
        <v>610373</v>
      </c>
      <c r="K29" s="20">
        <f t="shared" si="18"/>
        <v>2626151</v>
      </c>
      <c r="L29" s="21">
        <f t="shared" si="18"/>
        <v>551415</v>
      </c>
      <c r="M29" s="20">
        <f t="shared" si="18"/>
        <v>551415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263</v>
      </c>
      <c r="Q29" s="43">
        <f t="shared" si="19"/>
        <v>289</v>
      </c>
      <c r="R29" s="23">
        <f t="shared" si="19"/>
        <v>2</v>
      </c>
      <c r="S29" s="24">
        <f t="shared" si="19"/>
        <v>0</v>
      </c>
      <c r="T29" s="24">
        <f t="shared" si="19"/>
        <v>8</v>
      </c>
      <c r="U29" s="24">
        <f t="shared" si="19"/>
        <v>0</v>
      </c>
      <c r="V29" s="25">
        <f t="shared" si="19"/>
        <v>36</v>
      </c>
      <c r="W29" s="26">
        <f t="shared" si="19"/>
        <v>219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24</v>
      </c>
      <c r="AB29" s="28">
        <f>AVERAGE(AB6:AB28)</f>
        <v>0.69357034755721636</v>
      </c>
      <c r="AC29" s="4">
        <f>AVERAGE(AC6:AC28)</f>
        <v>0.47644927536231896</v>
      </c>
      <c r="AD29" s="4">
        <f>AVERAGE(AD6:AD28)</f>
        <v>0.46053308631824036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524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527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379" t="s">
        <v>46</v>
      </c>
      <c r="D58" s="379" t="s">
        <v>47</v>
      </c>
      <c r="E58" s="379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379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130</v>
      </c>
      <c r="B59" s="436"/>
      <c r="C59" s="375" t="s">
        <v>223</v>
      </c>
      <c r="D59" s="375" t="s">
        <v>288</v>
      </c>
      <c r="E59" s="375" t="s">
        <v>314</v>
      </c>
      <c r="F59" s="437" t="s">
        <v>525</v>
      </c>
      <c r="G59" s="438"/>
      <c r="H59" s="438"/>
      <c r="I59" s="438"/>
      <c r="J59" s="438"/>
      <c r="K59" s="438"/>
      <c r="L59" s="438"/>
      <c r="M59" s="439"/>
      <c r="N59" s="378" t="s">
        <v>112</v>
      </c>
      <c r="O59" s="372" t="s">
        <v>223</v>
      </c>
      <c r="P59" s="440" t="s">
        <v>155</v>
      </c>
      <c r="Q59" s="441"/>
      <c r="R59" s="440" t="s">
        <v>528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116</v>
      </c>
      <c r="B60" s="436"/>
      <c r="C60" s="375" t="s">
        <v>191</v>
      </c>
      <c r="D60" s="375" t="s">
        <v>133</v>
      </c>
      <c r="E60" s="375" t="s">
        <v>427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378" t="s">
        <v>112</v>
      </c>
      <c r="O60" s="372" t="s">
        <v>223</v>
      </c>
      <c r="P60" s="440" t="s">
        <v>155</v>
      </c>
      <c r="Q60" s="441"/>
      <c r="R60" s="440" t="s">
        <v>454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116</v>
      </c>
      <c r="B61" s="436"/>
      <c r="C61" s="375" t="s">
        <v>225</v>
      </c>
      <c r="D61" s="375" t="s">
        <v>259</v>
      </c>
      <c r="E61" s="375" t="s">
        <v>425</v>
      </c>
      <c r="F61" s="437" t="s">
        <v>122</v>
      </c>
      <c r="G61" s="438"/>
      <c r="H61" s="438"/>
      <c r="I61" s="438"/>
      <c r="J61" s="438"/>
      <c r="K61" s="438"/>
      <c r="L61" s="438"/>
      <c r="M61" s="439"/>
      <c r="N61" s="378" t="s">
        <v>130</v>
      </c>
      <c r="O61" s="372" t="s">
        <v>191</v>
      </c>
      <c r="P61" s="440" t="s">
        <v>310</v>
      </c>
      <c r="Q61" s="441"/>
      <c r="R61" s="440" t="s">
        <v>529</v>
      </c>
      <c r="S61" s="442"/>
      <c r="T61" s="442"/>
      <c r="U61" s="441"/>
      <c r="V61" s="437" t="s">
        <v>122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130</v>
      </c>
      <c r="B62" s="436"/>
      <c r="C62" s="375" t="s">
        <v>191</v>
      </c>
      <c r="D62" s="375"/>
      <c r="E62" s="375" t="s">
        <v>431</v>
      </c>
      <c r="F62" s="437" t="s">
        <v>122</v>
      </c>
      <c r="G62" s="438"/>
      <c r="H62" s="438"/>
      <c r="I62" s="438"/>
      <c r="J62" s="438"/>
      <c r="K62" s="438"/>
      <c r="L62" s="438"/>
      <c r="M62" s="439"/>
      <c r="N62" s="378" t="s">
        <v>531</v>
      </c>
      <c r="O62" s="372" t="s">
        <v>234</v>
      </c>
      <c r="P62" s="440" t="s">
        <v>532</v>
      </c>
      <c r="Q62" s="441"/>
      <c r="R62" s="440" t="s">
        <v>530</v>
      </c>
      <c r="S62" s="442"/>
      <c r="T62" s="442"/>
      <c r="U62" s="441"/>
      <c r="V62" s="437" t="s">
        <v>122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375" t="s">
        <v>326</v>
      </c>
      <c r="D63" s="375" t="s">
        <v>129</v>
      </c>
      <c r="E63" s="375" t="s">
        <v>324</v>
      </c>
      <c r="F63" s="437" t="s">
        <v>526</v>
      </c>
      <c r="G63" s="438"/>
      <c r="H63" s="438"/>
      <c r="I63" s="438"/>
      <c r="J63" s="438"/>
      <c r="K63" s="438"/>
      <c r="L63" s="438"/>
      <c r="M63" s="439"/>
      <c r="N63" s="378" t="s">
        <v>112</v>
      </c>
      <c r="O63" s="372" t="s">
        <v>326</v>
      </c>
      <c r="P63" s="440" t="s">
        <v>129</v>
      </c>
      <c r="Q63" s="441"/>
      <c r="R63" s="440" t="s">
        <v>324</v>
      </c>
      <c r="S63" s="442"/>
      <c r="T63" s="442"/>
      <c r="U63" s="441"/>
      <c r="V63" s="437" t="s">
        <v>226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/>
      <c r="B64" s="436"/>
      <c r="C64" s="375"/>
      <c r="D64" s="375"/>
      <c r="E64" s="375"/>
      <c r="F64" s="437"/>
      <c r="G64" s="438"/>
      <c r="H64" s="438"/>
      <c r="I64" s="438"/>
      <c r="J64" s="438"/>
      <c r="K64" s="438"/>
      <c r="L64" s="438"/>
      <c r="M64" s="439"/>
      <c r="N64" s="378"/>
      <c r="O64" s="372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/>
      <c r="B65" s="436"/>
      <c r="C65" s="375"/>
      <c r="D65" s="375"/>
      <c r="E65" s="375"/>
      <c r="F65" s="437"/>
      <c r="G65" s="438"/>
      <c r="H65" s="438"/>
      <c r="I65" s="438"/>
      <c r="J65" s="438"/>
      <c r="K65" s="438"/>
      <c r="L65" s="438"/>
      <c r="M65" s="439"/>
      <c r="N65" s="378"/>
      <c r="O65" s="372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374"/>
      <c r="D66" s="374"/>
      <c r="E66" s="375"/>
      <c r="F66" s="437"/>
      <c r="G66" s="438"/>
      <c r="H66" s="438"/>
      <c r="I66" s="438"/>
      <c r="J66" s="438"/>
      <c r="K66" s="438"/>
      <c r="L66" s="438"/>
      <c r="M66" s="439"/>
      <c r="N66" s="378"/>
      <c r="O66" s="372"/>
      <c r="P66" s="440"/>
      <c r="Q66" s="441"/>
      <c r="R66" s="440"/>
      <c r="S66" s="442"/>
      <c r="T66" s="442"/>
      <c r="U66" s="441"/>
      <c r="V66" s="437"/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374"/>
      <c r="D67" s="374"/>
      <c r="E67" s="375"/>
      <c r="F67" s="437"/>
      <c r="G67" s="438"/>
      <c r="H67" s="438"/>
      <c r="I67" s="438"/>
      <c r="J67" s="438"/>
      <c r="K67" s="438"/>
      <c r="L67" s="438"/>
      <c r="M67" s="439"/>
      <c r="N67" s="378"/>
      <c r="O67" s="372"/>
      <c r="P67" s="436"/>
      <c r="Q67" s="436"/>
      <c r="R67" s="436"/>
      <c r="S67" s="436"/>
      <c r="T67" s="436"/>
      <c r="U67" s="436"/>
      <c r="V67" s="437"/>
      <c r="W67" s="438"/>
      <c r="X67" s="438"/>
      <c r="Y67" s="438"/>
      <c r="Z67" s="438"/>
      <c r="AA67" s="438"/>
      <c r="AB67" s="438"/>
      <c r="AC67" s="438"/>
      <c r="AD67" s="439"/>
      <c r="AF67" s="84">
        <f>8*3000</f>
        <v>24000</v>
      </c>
    </row>
    <row r="68" spans="1:32" ht="27" customHeight="1" thickBot="1">
      <c r="A68" s="445"/>
      <c r="B68" s="446"/>
      <c r="C68" s="376"/>
      <c r="D68" s="377"/>
      <c r="E68" s="376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533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373" t="s">
        <v>2</v>
      </c>
      <c r="D70" s="373" t="s">
        <v>37</v>
      </c>
      <c r="E70" s="373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373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112</v>
      </c>
      <c r="D71" s="368"/>
      <c r="E71" s="371" t="s">
        <v>115</v>
      </c>
      <c r="F71" s="464" t="s">
        <v>384</v>
      </c>
      <c r="G71" s="465"/>
      <c r="H71" s="465"/>
      <c r="I71" s="465"/>
      <c r="J71" s="465"/>
      <c r="K71" s="465" t="s">
        <v>153</v>
      </c>
      <c r="L71" s="465"/>
      <c r="M71" s="51" t="s">
        <v>214</v>
      </c>
      <c r="N71" s="466" t="s">
        <v>148</v>
      </c>
      <c r="O71" s="466"/>
      <c r="P71" s="467">
        <v>50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 t="s">
        <v>116</v>
      </c>
      <c r="D72" s="368"/>
      <c r="E72" s="371" t="s">
        <v>115</v>
      </c>
      <c r="F72" s="464" t="s">
        <v>491</v>
      </c>
      <c r="G72" s="465"/>
      <c r="H72" s="465"/>
      <c r="I72" s="465"/>
      <c r="J72" s="465"/>
      <c r="K72" s="465">
        <v>7301</v>
      </c>
      <c r="L72" s="465"/>
      <c r="M72" s="51" t="s">
        <v>272</v>
      </c>
      <c r="N72" s="466" t="s">
        <v>191</v>
      </c>
      <c r="O72" s="466"/>
      <c r="P72" s="467">
        <v>50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/>
      <c r="D73" s="368"/>
      <c r="E73" s="371"/>
      <c r="F73" s="464"/>
      <c r="G73" s="465"/>
      <c r="H73" s="465"/>
      <c r="I73" s="465"/>
      <c r="J73" s="465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/>
      <c r="D74" s="368"/>
      <c r="E74" s="371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368"/>
      <c r="E75" s="371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368"/>
      <c r="E76" s="371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368"/>
      <c r="E77" s="371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368"/>
      <c r="E78" s="371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368"/>
      <c r="E79" s="371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368"/>
      <c r="E80" s="371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534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370" t="s">
        <v>2</v>
      </c>
      <c r="D82" s="370" t="s">
        <v>37</v>
      </c>
      <c r="E82" s="370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369"/>
      <c r="D83" s="369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368"/>
      <c r="D84" s="368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20">A84+1</f>
        <v>3</v>
      </c>
      <c r="B85" s="481"/>
      <c r="C85" s="368"/>
      <c r="D85" s="368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20"/>
        <v>4</v>
      </c>
      <c r="B86" s="481"/>
      <c r="C86" s="368"/>
      <c r="D86" s="368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20"/>
        <v>5</v>
      </c>
      <c r="B87" s="481"/>
      <c r="C87" s="368"/>
      <c r="D87" s="368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20"/>
        <v>6</v>
      </c>
      <c r="B88" s="481"/>
      <c r="C88" s="368"/>
      <c r="D88" s="368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20"/>
        <v>7</v>
      </c>
      <c r="B89" s="481"/>
      <c r="C89" s="368"/>
      <c r="D89" s="368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535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DD88-35D2-4843-9336-509193514EC8}">
  <sheetPr>
    <pageSetUpPr fitToPage="1"/>
  </sheetPr>
  <dimension ref="A1:AF94"/>
  <sheetViews>
    <sheetView view="pageBreakPreview" topLeftCell="A67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536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81" t="s">
        <v>17</v>
      </c>
      <c r="L5" s="381" t="s">
        <v>18</v>
      </c>
      <c r="M5" s="381" t="s">
        <v>19</v>
      </c>
      <c r="N5" s="3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155</v>
      </c>
      <c r="E6" s="53" t="s">
        <v>283</v>
      </c>
      <c r="F6" s="30" t="s">
        <v>289</v>
      </c>
      <c r="G6" s="12">
        <v>2</v>
      </c>
      <c r="H6" s="13">
        <v>24</v>
      </c>
      <c r="I6" s="31">
        <v>1000</v>
      </c>
      <c r="J6" s="14">
        <v>1254</v>
      </c>
      <c r="K6" s="15">
        <f>L6</f>
        <v>1254</v>
      </c>
      <c r="L6" s="15">
        <f>627*2</f>
        <v>1254</v>
      </c>
      <c r="M6" s="15">
        <f t="shared" ref="M6:M28" si="0">L6-N6</f>
        <v>1254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4</v>
      </c>
      <c r="Q6" s="40">
        <f t="shared" ref="Q6:Q28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0.16666666666666666</v>
      </c>
      <c r="AD6" s="10">
        <f t="shared" ref="AD6:AD28" si="6">AC6*AB6*(1-O6)</f>
        <v>0.16666666666666666</v>
      </c>
      <c r="AE6" s="36">
        <f t="shared" ref="AE6:AE28" si="7">$AD$29</f>
        <v>0.38043478260869568</v>
      </c>
      <c r="AF6" s="84">
        <f t="shared" ref="AF6:AF28" si="8">A6</f>
        <v>1</v>
      </c>
    </row>
    <row r="7" spans="1:32" ht="27" customHeight="1">
      <c r="A7" s="112">
        <v>1</v>
      </c>
      <c r="B7" s="11" t="s">
        <v>57</v>
      </c>
      <c r="C7" s="34" t="s">
        <v>112</v>
      </c>
      <c r="D7" s="52" t="s">
        <v>155</v>
      </c>
      <c r="E7" s="53" t="s">
        <v>528</v>
      </c>
      <c r="F7" s="30" t="s">
        <v>153</v>
      </c>
      <c r="G7" s="12">
        <v>1</v>
      </c>
      <c r="H7" s="13">
        <v>24</v>
      </c>
      <c r="I7" s="31">
        <v>5000</v>
      </c>
      <c r="J7" s="14">
        <v>2806</v>
      </c>
      <c r="K7" s="15">
        <f>L7</f>
        <v>2806</v>
      </c>
      <c r="L7" s="15">
        <f>2806</f>
        <v>2806</v>
      </c>
      <c r="M7" s="15">
        <f t="shared" ref="M7" si="9">L7-N7</f>
        <v>2806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14</v>
      </c>
      <c r="Q7" s="40">
        <f t="shared" ref="Q7" si="12">SUM(R7:AA7)</f>
        <v>10</v>
      </c>
      <c r="R7" s="7"/>
      <c r="S7" s="6"/>
      <c r="T7" s="16"/>
      <c r="U7" s="16"/>
      <c r="V7" s="17"/>
      <c r="W7" s="5"/>
      <c r="X7" s="16"/>
      <c r="Y7" s="16"/>
      <c r="Z7" s="16"/>
      <c r="AA7" s="18">
        <v>10</v>
      </c>
      <c r="AB7" s="8">
        <f t="shared" ref="AB7" si="13">IF(J7=0,"0",(L7/J7))</f>
        <v>1</v>
      </c>
      <c r="AC7" s="9">
        <f t="shared" ref="AC7" si="14">IF(P7=0,"0",(P7/24))</f>
        <v>0.58333333333333337</v>
      </c>
      <c r="AD7" s="10">
        <f t="shared" ref="AD7" si="15">AC7*AB7*(1-O7)</f>
        <v>0.58333333333333337</v>
      </c>
      <c r="AE7" s="36">
        <f t="shared" si="7"/>
        <v>0.38043478260869568</v>
      </c>
      <c r="AF7" s="84">
        <f t="shared" ref="AF7" si="16">A7</f>
        <v>1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155</v>
      </c>
      <c r="E8" s="53" t="s">
        <v>454</v>
      </c>
      <c r="F8" s="30" t="s">
        <v>153</v>
      </c>
      <c r="G8" s="12">
        <v>2</v>
      </c>
      <c r="H8" s="13">
        <v>24</v>
      </c>
      <c r="I8" s="31">
        <v>6000</v>
      </c>
      <c r="J8" s="14">
        <v>10180</v>
      </c>
      <c r="K8" s="15">
        <f>L8</f>
        <v>10180</v>
      </c>
      <c r="L8" s="15">
        <f>2107*2+2983*2</f>
        <v>10180</v>
      </c>
      <c r="M8" s="15">
        <f t="shared" si="0"/>
        <v>10180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0.38043478260869568</v>
      </c>
      <c r="AF8" s="84">
        <f t="shared" si="8"/>
        <v>2</v>
      </c>
    </row>
    <row r="9" spans="1:32" ht="27" customHeight="1">
      <c r="A9" s="112">
        <v>3</v>
      </c>
      <c r="B9" s="11" t="s">
        <v>57</v>
      </c>
      <c r="C9" s="34" t="s">
        <v>130</v>
      </c>
      <c r="D9" s="52" t="s">
        <v>310</v>
      </c>
      <c r="E9" s="53" t="s">
        <v>537</v>
      </c>
      <c r="F9" s="30" t="s">
        <v>147</v>
      </c>
      <c r="G9" s="12">
        <v>1</v>
      </c>
      <c r="H9" s="13">
        <v>24</v>
      </c>
      <c r="I9" s="7">
        <v>2000</v>
      </c>
      <c r="J9" s="14">
        <v>3687</v>
      </c>
      <c r="K9" s="15">
        <f>L9</f>
        <v>3687</v>
      </c>
      <c r="L9" s="15">
        <f>1003+2684</f>
        <v>3687</v>
      </c>
      <c r="M9" s="15">
        <f t="shared" si="0"/>
        <v>3687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0.38043478260869568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259</v>
      </c>
      <c r="E10" s="53" t="s">
        <v>410</v>
      </c>
      <c r="F10" s="30" t="s">
        <v>411</v>
      </c>
      <c r="G10" s="12">
        <v>1</v>
      </c>
      <c r="H10" s="13">
        <v>24</v>
      </c>
      <c r="I10" s="7">
        <v>30000</v>
      </c>
      <c r="J10" s="14">
        <v>5627</v>
      </c>
      <c r="K10" s="15">
        <f>L10+2149+1588+3170+3177+1793+2296+5336+5578</f>
        <v>30714</v>
      </c>
      <c r="L10" s="15">
        <f>2840+2787</f>
        <v>5627</v>
      </c>
      <c r="M10" s="15">
        <f t="shared" si="0"/>
        <v>5627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0.38043478260869568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116</v>
      </c>
      <c r="D11" s="52" t="s">
        <v>157</v>
      </c>
      <c r="E11" s="53" t="s">
        <v>422</v>
      </c>
      <c r="F11" s="30" t="s">
        <v>132</v>
      </c>
      <c r="G11" s="33">
        <v>4</v>
      </c>
      <c r="H11" s="35">
        <v>24</v>
      </c>
      <c r="I11" s="7">
        <v>2000</v>
      </c>
      <c r="J11" s="14">
        <v>4228</v>
      </c>
      <c r="K11" s="15">
        <f>L11+4228</f>
        <v>4228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0.38043478260869568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116</v>
      </c>
      <c r="D12" s="52" t="s">
        <v>498</v>
      </c>
      <c r="E12" s="53" t="s">
        <v>425</v>
      </c>
      <c r="F12" s="30" t="s">
        <v>144</v>
      </c>
      <c r="G12" s="33">
        <v>2</v>
      </c>
      <c r="H12" s="35">
        <v>24</v>
      </c>
      <c r="I12" s="7">
        <v>1000</v>
      </c>
      <c r="J12" s="14">
        <v>1642</v>
      </c>
      <c r="K12" s="15">
        <f>L12+1642</f>
        <v>1642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0.38043478260869568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455</v>
      </c>
      <c r="F13" s="30" t="s">
        <v>123</v>
      </c>
      <c r="G13" s="12">
        <v>1</v>
      </c>
      <c r="H13" s="13">
        <v>22</v>
      </c>
      <c r="I13" s="31">
        <v>70000</v>
      </c>
      <c r="J13" s="5">
        <v>3502</v>
      </c>
      <c r="K13" s="15">
        <f>L13+5056+5299+5142+4725+5285+5308</f>
        <v>34317</v>
      </c>
      <c r="L13" s="15">
        <f>1207+2295</f>
        <v>3502</v>
      </c>
      <c r="M13" s="15">
        <f t="shared" si="0"/>
        <v>3502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 t="shared" si="6"/>
        <v>0.79166666666666663</v>
      </c>
      <c r="AE13" s="36">
        <f t="shared" si="7"/>
        <v>0.38043478260869568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259</v>
      </c>
      <c r="E14" s="53" t="s">
        <v>481</v>
      </c>
      <c r="F14" s="30" t="s">
        <v>123</v>
      </c>
      <c r="G14" s="33">
        <v>2</v>
      </c>
      <c r="H14" s="35">
        <v>22</v>
      </c>
      <c r="I14" s="7">
        <v>30000</v>
      </c>
      <c r="J14" s="14">
        <v>13596</v>
      </c>
      <c r="K14" s="15">
        <f>L14+6708+13390+13428</f>
        <v>47122</v>
      </c>
      <c r="L14" s="15">
        <f>3435*2+3363*2</f>
        <v>13596</v>
      </c>
      <c r="M14" s="15">
        <f t="shared" si="0"/>
        <v>13596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0.38043478260869568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482</v>
      </c>
      <c r="F15" s="30" t="s">
        <v>457</v>
      </c>
      <c r="G15" s="33">
        <v>1</v>
      </c>
      <c r="H15" s="35">
        <v>30</v>
      </c>
      <c r="I15" s="7">
        <v>3500</v>
      </c>
      <c r="J15" s="5">
        <v>1250</v>
      </c>
      <c r="K15" s="15">
        <f>L15+1335+1471+1250</f>
        <v>4056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0.38043478260869568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128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0.38043478260869568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145</v>
      </c>
      <c r="D17" s="52"/>
      <c r="E17" s="53" t="s">
        <v>236</v>
      </c>
      <c r="F17" s="30" t="s">
        <v>146</v>
      </c>
      <c r="G17" s="12">
        <v>32</v>
      </c>
      <c r="H17" s="13">
        <v>24</v>
      </c>
      <c r="I17" s="7">
        <v>2000000</v>
      </c>
      <c r="J17" s="14">
        <v>402688</v>
      </c>
      <c r="K17" s="15">
        <f>L17+305888+365184+357152+391744+392352</f>
        <v>2215008</v>
      </c>
      <c r="L17" s="15">
        <f>6245*32+6339*32</f>
        <v>402688</v>
      </c>
      <c r="M17" s="15">
        <f t="shared" si="0"/>
        <v>402688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0.38043478260869568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130</v>
      </c>
      <c r="D18" s="52" t="s">
        <v>439</v>
      </c>
      <c r="E18" s="53" t="s">
        <v>440</v>
      </c>
      <c r="F18" s="30" t="s">
        <v>159</v>
      </c>
      <c r="G18" s="12">
        <v>1</v>
      </c>
      <c r="H18" s="13">
        <v>24</v>
      </c>
      <c r="I18" s="7">
        <v>2000</v>
      </c>
      <c r="J18" s="14">
        <v>4211</v>
      </c>
      <c r="K18" s="15">
        <f>L18+4211</f>
        <v>4211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0.38043478260869568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34" t="s">
        <v>112</v>
      </c>
      <c r="D19" s="52" t="s">
        <v>115</v>
      </c>
      <c r="E19" s="53" t="s">
        <v>503</v>
      </c>
      <c r="F19" s="30" t="s">
        <v>147</v>
      </c>
      <c r="G19" s="12">
        <v>2</v>
      </c>
      <c r="H19" s="13">
        <v>22</v>
      </c>
      <c r="I19" s="31">
        <v>30000</v>
      </c>
      <c r="J19" s="5">
        <v>9940</v>
      </c>
      <c r="K19" s="15">
        <f>L19+9826+11714</f>
        <v>31480</v>
      </c>
      <c r="L19" s="15">
        <f>2095*2+2875*2</f>
        <v>9940</v>
      </c>
      <c r="M19" s="15">
        <f t="shared" si="0"/>
        <v>9940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0.38043478260869568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531</v>
      </c>
      <c r="D20" s="52" t="s">
        <v>532</v>
      </c>
      <c r="E20" s="53" t="s">
        <v>530</v>
      </c>
      <c r="F20" s="30" t="s">
        <v>538</v>
      </c>
      <c r="G20" s="12">
        <v>2</v>
      </c>
      <c r="H20" s="13">
        <v>24</v>
      </c>
      <c r="I20" s="7">
        <v>5000</v>
      </c>
      <c r="J20" s="14">
        <v>4914</v>
      </c>
      <c r="K20" s="15">
        <f>L20</f>
        <v>4914</v>
      </c>
      <c r="L20" s="15">
        <f>2457*2</f>
        <v>4914</v>
      </c>
      <c r="M20" s="15">
        <f t="shared" si="0"/>
        <v>4914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0.38043478260869568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129</v>
      </c>
      <c r="E21" s="53" t="s">
        <v>324</v>
      </c>
      <c r="F21" s="30" t="s">
        <v>124</v>
      </c>
      <c r="G21" s="33">
        <v>4</v>
      </c>
      <c r="H21" s="35">
        <v>24</v>
      </c>
      <c r="I21" s="7">
        <v>250000</v>
      </c>
      <c r="J21" s="14">
        <v>21656</v>
      </c>
      <c r="K21" s="15">
        <f>L21+16424+3460+8466+14048+14809+10420+6468+20028+25064+24256+18744+23224+19112</f>
        <v>226179</v>
      </c>
      <c r="L21" s="15">
        <f>2188*4+3226*4</f>
        <v>21656</v>
      </c>
      <c r="M21" s="15">
        <f t="shared" si="0"/>
        <v>21656</v>
      </c>
      <c r="N21" s="15">
        <v>0</v>
      </c>
      <c r="O21" s="58">
        <f t="shared" si="1"/>
        <v>0</v>
      </c>
      <c r="P21" s="39">
        <f t="shared" si="2"/>
        <v>23</v>
      </c>
      <c r="Q21" s="40">
        <f t="shared" si="3"/>
        <v>1</v>
      </c>
      <c r="R21" s="7"/>
      <c r="S21" s="6">
        <v>1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0.95833333333333337</v>
      </c>
      <c r="AD21" s="10">
        <f t="shared" si="6"/>
        <v>0.95833333333333337</v>
      </c>
      <c r="AE21" s="36">
        <f t="shared" si="7"/>
        <v>0.38043478260869568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328</v>
      </c>
      <c r="F22" s="12" t="s">
        <v>114</v>
      </c>
      <c r="G22" s="12">
        <v>4</v>
      </c>
      <c r="H22" s="35">
        <v>20</v>
      </c>
      <c r="I22" s="7">
        <v>300000</v>
      </c>
      <c r="J22" s="14">
        <v>8901</v>
      </c>
      <c r="K22" s="15">
        <f>L22+30164+39608+36320</f>
        <v>114993</v>
      </c>
      <c r="L22" s="15">
        <f>2967*3</f>
        <v>8901</v>
      </c>
      <c r="M22" s="15">
        <f t="shared" si="0"/>
        <v>8901</v>
      </c>
      <c r="N22" s="15">
        <v>0</v>
      </c>
      <c r="O22" s="58">
        <f t="shared" si="1"/>
        <v>0</v>
      </c>
      <c r="P22" s="39">
        <f t="shared" si="2"/>
        <v>6</v>
      </c>
      <c r="Q22" s="40">
        <f t="shared" si="3"/>
        <v>18</v>
      </c>
      <c r="R22" s="7"/>
      <c r="S22" s="6"/>
      <c r="T22" s="16"/>
      <c r="U22" s="16"/>
      <c r="V22" s="17">
        <v>18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0.25</v>
      </c>
      <c r="AD22" s="10">
        <f t="shared" si="6"/>
        <v>0.25</v>
      </c>
      <c r="AE22" s="36">
        <f t="shared" si="7"/>
        <v>0.38043478260869568</v>
      </c>
      <c r="AF22" s="84">
        <f t="shared" si="8"/>
        <v>16</v>
      </c>
    </row>
    <row r="23" spans="1:32" ht="21.75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0.38043478260869568</v>
      </c>
      <c r="AF23" s="84">
        <f t="shared" si="8"/>
        <v>31</v>
      </c>
    </row>
    <row r="24" spans="1:32" ht="21.75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0.38043478260869568</v>
      </c>
      <c r="AF24" s="84">
        <f t="shared" si="8"/>
        <v>32</v>
      </c>
    </row>
    <row r="25" spans="1:32" ht="21.75" customHeight="1">
      <c r="A25" s="96">
        <v>33</v>
      </c>
      <c r="B25" s="11" t="s">
        <v>57</v>
      </c>
      <c r="C25" s="11" t="s">
        <v>116</v>
      </c>
      <c r="D25" s="52" t="s">
        <v>498</v>
      </c>
      <c r="E25" s="53" t="s">
        <v>484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0.38043478260869568</v>
      </c>
      <c r="AF25" s="84">
        <f t="shared" si="8"/>
        <v>33</v>
      </c>
    </row>
    <row r="26" spans="1:32" ht="21.75" customHeight="1">
      <c r="A26" s="96">
        <v>34</v>
      </c>
      <c r="B26" s="11" t="s">
        <v>57</v>
      </c>
      <c r="C26" s="11" t="s">
        <v>116</v>
      </c>
      <c r="D26" s="52" t="s">
        <v>133</v>
      </c>
      <c r="E26" s="53" t="s">
        <v>137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0.38043478260869568</v>
      </c>
      <c r="AF26" s="84">
        <f t="shared" si="8"/>
        <v>34</v>
      </c>
    </row>
    <row r="27" spans="1:32" ht="21.75" customHeight="1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0.38043478260869568</v>
      </c>
      <c r="AF27" s="84">
        <f t="shared" si="8"/>
        <v>35</v>
      </c>
    </row>
    <row r="28" spans="1:32" ht="21.75" customHeight="1" thickBot="1">
      <c r="A28" s="96">
        <v>36</v>
      </c>
      <c r="B28" s="11" t="s">
        <v>57</v>
      </c>
      <c r="C28" s="11" t="s">
        <v>116</v>
      </c>
      <c r="D28" s="52" t="s">
        <v>115</v>
      </c>
      <c r="E28" s="53" t="s">
        <v>489</v>
      </c>
      <c r="F28" s="12" t="s">
        <v>147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0.38043478260869568</v>
      </c>
      <c r="AF28" s="84">
        <f t="shared" si="8"/>
        <v>36</v>
      </c>
    </row>
    <row r="29" spans="1:32" ht="19.5" thickBot="1">
      <c r="A29" s="409" t="s">
        <v>34</v>
      </c>
      <c r="B29" s="410"/>
      <c r="C29" s="410"/>
      <c r="D29" s="410"/>
      <c r="E29" s="410"/>
      <c r="F29" s="410"/>
      <c r="G29" s="410"/>
      <c r="H29" s="411"/>
      <c r="I29" s="22">
        <f t="shared" ref="I29:N29" si="18">SUM(I6:I28)</f>
        <v>3029500</v>
      </c>
      <c r="J29" s="19">
        <f t="shared" si="18"/>
        <v>608186</v>
      </c>
      <c r="K29" s="20">
        <f t="shared" si="18"/>
        <v>3101791</v>
      </c>
      <c r="L29" s="21">
        <f t="shared" si="18"/>
        <v>488751</v>
      </c>
      <c r="M29" s="20">
        <f t="shared" si="18"/>
        <v>488751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210</v>
      </c>
      <c r="Q29" s="43">
        <f t="shared" si="19"/>
        <v>342</v>
      </c>
      <c r="R29" s="23">
        <f t="shared" si="19"/>
        <v>0</v>
      </c>
      <c r="S29" s="24">
        <f t="shared" si="19"/>
        <v>29</v>
      </c>
      <c r="T29" s="24">
        <f t="shared" si="19"/>
        <v>1</v>
      </c>
      <c r="U29" s="24">
        <f t="shared" si="19"/>
        <v>0</v>
      </c>
      <c r="V29" s="25">
        <f t="shared" si="19"/>
        <v>42</v>
      </c>
      <c r="W29" s="26">
        <f t="shared" si="19"/>
        <v>260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10</v>
      </c>
      <c r="AB29" s="28">
        <f>AVERAGE(AB6:AB28)</f>
        <v>0.5714285714285714</v>
      </c>
      <c r="AC29" s="4">
        <f>AVERAGE(AC6:AC28)</f>
        <v>0.38043478260869568</v>
      </c>
      <c r="AD29" s="4">
        <f>AVERAGE(AD6:AD28)</f>
        <v>0.38043478260869568</v>
      </c>
      <c r="AE29" s="29"/>
    </row>
    <row r="30" spans="1:32">
      <c r="T30" s="50" t="s">
        <v>134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12" t="s">
        <v>45</v>
      </c>
      <c r="B56" s="412"/>
      <c r="C56" s="412"/>
      <c r="D56" s="412"/>
      <c r="E56" s="41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13" t="s">
        <v>539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5"/>
      <c r="N57" s="416" t="s">
        <v>542</v>
      </c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8"/>
    </row>
    <row r="58" spans="1:32" ht="27" customHeight="1">
      <c r="A58" s="419" t="s">
        <v>2</v>
      </c>
      <c r="B58" s="420"/>
      <c r="C58" s="382" t="s">
        <v>46</v>
      </c>
      <c r="D58" s="382" t="s">
        <v>47</v>
      </c>
      <c r="E58" s="382" t="s">
        <v>107</v>
      </c>
      <c r="F58" s="421" t="s">
        <v>106</v>
      </c>
      <c r="G58" s="422"/>
      <c r="H58" s="422"/>
      <c r="I58" s="422"/>
      <c r="J58" s="422"/>
      <c r="K58" s="422"/>
      <c r="L58" s="422"/>
      <c r="M58" s="423"/>
      <c r="N58" s="67" t="s">
        <v>110</v>
      </c>
      <c r="O58" s="382" t="s">
        <v>46</v>
      </c>
      <c r="P58" s="421" t="s">
        <v>47</v>
      </c>
      <c r="Q58" s="424"/>
      <c r="R58" s="421" t="s">
        <v>38</v>
      </c>
      <c r="S58" s="422"/>
      <c r="T58" s="422"/>
      <c r="U58" s="424"/>
      <c r="V58" s="421" t="s">
        <v>48</v>
      </c>
      <c r="W58" s="422"/>
      <c r="X58" s="422"/>
      <c r="Y58" s="422"/>
      <c r="Z58" s="422"/>
      <c r="AA58" s="422"/>
      <c r="AB58" s="422"/>
      <c r="AC58" s="422"/>
      <c r="AD58" s="423"/>
    </row>
    <row r="59" spans="1:32" ht="27" customHeight="1">
      <c r="A59" s="435" t="s">
        <v>112</v>
      </c>
      <c r="B59" s="436"/>
      <c r="C59" s="384" t="s">
        <v>223</v>
      </c>
      <c r="D59" s="384" t="s">
        <v>155</v>
      </c>
      <c r="E59" s="384" t="s">
        <v>528</v>
      </c>
      <c r="F59" s="437" t="s">
        <v>122</v>
      </c>
      <c r="G59" s="438"/>
      <c r="H59" s="438"/>
      <c r="I59" s="438"/>
      <c r="J59" s="438"/>
      <c r="K59" s="438"/>
      <c r="L59" s="438"/>
      <c r="M59" s="439"/>
      <c r="N59" s="383" t="s">
        <v>112</v>
      </c>
      <c r="O59" s="390" t="s">
        <v>223</v>
      </c>
      <c r="P59" s="440" t="s">
        <v>155</v>
      </c>
      <c r="Q59" s="441"/>
      <c r="R59" s="440" t="s">
        <v>528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116</v>
      </c>
      <c r="B60" s="436"/>
      <c r="C60" s="384" t="s">
        <v>223</v>
      </c>
      <c r="D60" s="384" t="s">
        <v>155</v>
      </c>
      <c r="E60" s="384" t="s">
        <v>283</v>
      </c>
      <c r="F60" s="437" t="s">
        <v>122</v>
      </c>
      <c r="G60" s="438"/>
      <c r="H60" s="438"/>
      <c r="I60" s="438"/>
      <c r="J60" s="438"/>
      <c r="K60" s="438"/>
      <c r="L60" s="438"/>
      <c r="M60" s="439"/>
      <c r="N60" s="383" t="s">
        <v>112</v>
      </c>
      <c r="O60" s="390" t="s">
        <v>223</v>
      </c>
      <c r="P60" s="440" t="s">
        <v>155</v>
      </c>
      <c r="Q60" s="441"/>
      <c r="R60" s="440" t="s">
        <v>543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531</v>
      </c>
      <c r="B61" s="436"/>
      <c r="C61" s="384" t="s">
        <v>234</v>
      </c>
      <c r="D61" s="384" t="s">
        <v>532</v>
      </c>
      <c r="E61" s="384" t="s">
        <v>530</v>
      </c>
      <c r="F61" s="437" t="s">
        <v>356</v>
      </c>
      <c r="G61" s="438"/>
      <c r="H61" s="438"/>
      <c r="I61" s="438"/>
      <c r="J61" s="438"/>
      <c r="K61" s="438"/>
      <c r="L61" s="438"/>
      <c r="M61" s="439"/>
      <c r="N61" s="383" t="s">
        <v>130</v>
      </c>
      <c r="O61" s="390" t="s">
        <v>191</v>
      </c>
      <c r="P61" s="440" t="s">
        <v>310</v>
      </c>
      <c r="Q61" s="441"/>
      <c r="R61" s="440" t="s">
        <v>529</v>
      </c>
      <c r="S61" s="442"/>
      <c r="T61" s="442"/>
      <c r="U61" s="441"/>
      <c r="V61" s="437" t="s">
        <v>226</v>
      </c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130</v>
      </c>
      <c r="B62" s="436"/>
      <c r="C62" s="384" t="s">
        <v>191</v>
      </c>
      <c r="D62" s="384" t="s">
        <v>310</v>
      </c>
      <c r="E62" s="384" t="s">
        <v>540</v>
      </c>
      <c r="F62" s="437" t="s">
        <v>541</v>
      </c>
      <c r="G62" s="438"/>
      <c r="H62" s="438"/>
      <c r="I62" s="438"/>
      <c r="J62" s="438"/>
      <c r="K62" s="438"/>
      <c r="L62" s="438"/>
      <c r="M62" s="439"/>
      <c r="N62" s="383" t="s">
        <v>531</v>
      </c>
      <c r="O62" s="390" t="s">
        <v>234</v>
      </c>
      <c r="P62" s="440" t="s">
        <v>532</v>
      </c>
      <c r="Q62" s="441"/>
      <c r="R62" s="440" t="s">
        <v>530</v>
      </c>
      <c r="S62" s="442"/>
      <c r="T62" s="442"/>
      <c r="U62" s="441"/>
      <c r="V62" s="437" t="s">
        <v>226</v>
      </c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 t="s">
        <v>112</v>
      </c>
      <c r="B63" s="436"/>
      <c r="C63" s="384" t="s">
        <v>326</v>
      </c>
      <c r="D63" s="384" t="s">
        <v>129</v>
      </c>
      <c r="E63" s="384" t="s">
        <v>324</v>
      </c>
      <c r="F63" s="437" t="s">
        <v>226</v>
      </c>
      <c r="G63" s="438"/>
      <c r="H63" s="438"/>
      <c r="I63" s="438"/>
      <c r="J63" s="438"/>
      <c r="K63" s="438"/>
      <c r="L63" s="438"/>
      <c r="M63" s="439"/>
      <c r="N63" s="383" t="s">
        <v>112</v>
      </c>
      <c r="O63" s="390" t="s">
        <v>326</v>
      </c>
      <c r="P63" s="440" t="s">
        <v>129</v>
      </c>
      <c r="Q63" s="441"/>
      <c r="R63" s="440" t="s">
        <v>324</v>
      </c>
      <c r="S63" s="442"/>
      <c r="T63" s="442"/>
      <c r="U63" s="441"/>
      <c r="V63" s="437" t="s">
        <v>226</v>
      </c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 t="s">
        <v>112</v>
      </c>
      <c r="B64" s="436"/>
      <c r="C64" s="384" t="s">
        <v>148</v>
      </c>
      <c r="D64" s="384" t="s">
        <v>155</v>
      </c>
      <c r="E64" s="384" t="s">
        <v>454</v>
      </c>
      <c r="F64" s="437" t="s">
        <v>122</v>
      </c>
      <c r="G64" s="438"/>
      <c r="H64" s="438"/>
      <c r="I64" s="438"/>
      <c r="J64" s="438"/>
      <c r="K64" s="438"/>
      <c r="L64" s="438"/>
      <c r="M64" s="439"/>
      <c r="N64" s="383" t="s">
        <v>112</v>
      </c>
      <c r="O64" s="390" t="s">
        <v>187</v>
      </c>
      <c r="P64" s="440" t="s">
        <v>115</v>
      </c>
      <c r="Q64" s="441"/>
      <c r="R64" s="440" t="s">
        <v>482</v>
      </c>
      <c r="S64" s="442"/>
      <c r="T64" s="442"/>
      <c r="U64" s="441"/>
      <c r="V64" s="437" t="s">
        <v>226</v>
      </c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35" t="s">
        <v>112</v>
      </c>
      <c r="B65" s="436"/>
      <c r="C65" s="384" t="s">
        <v>187</v>
      </c>
      <c r="D65" s="384" t="s">
        <v>115</v>
      </c>
      <c r="E65" s="384" t="s">
        <v>482</v>
      </c>
      <c r="F65" s="437" t="s">
        <v>544</v>
      </c>
      <c r="G65" s="438"/>
      <c r="H65" s="438"/>
      <c r="I65" s="438"/>
      <c r="J65" s="438"/>
      <c r="K65" s="438"/>
      <c r="L65" s="438"/>
      <c r="M65" s="439"/>
      <c r="N65" s="383"/>
      <c r="O65" s="390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387"/>
      <c r="D66" s="387"/>
      <c r="E66" s="384"/>
      <c r="F66" s="437"/>
      <c r="G66" s="438"/>
      <c r="H66" s="438"/>
      <c r="I66" s="438"/>
      <c r="J66" s="438"/>
      <c r="K66" s="438"/>
      <c r="L66" s="438"/>
      <c r="M66" s="439"/>
      <c r="N66" s="383"/>
      <c r="O66" s="390"/>
      <c r="P66" s="440"/>
      <c r="Q66" s="441"/>
      <c r="R66" s="440"/>
      <c r="S66" s="442"/>
      <c r="T66" s="442"/>
      <c r="U66" s="441"/>
      <c r="V66" s="437"/>
      <c r="W66" s="438"/>
      <c r="X66" s="438"/>
      <c r="Y66" s="438"/>
      <c r="Z66" s="438"/>
      <c r="AA66" s="438"/>
      <c r="AB66" s="438"/>
      <c r="AC66" s="438"/>
      <c r="AD66" s="439"/>
    </row>
    <row r="67" spans="1:32" ht="27" customHeight="1">
      <c r="A67" s="453"/>
      <c r="B67" s="454"/>
      <c r="C67" s="387"/>
      <c r="D67" s="387"/>
      <c r="E67" s="384"/>
      <c r="F67" s="437"/>
      <c r="G67" s="438"/>
      <c r="H67" s="438"/>
      <c r="I67" s="438"/>
      <c r="J67" s="438"/>
      <c r="K67" s="438"/>
      <c r="L67" s="438"/>
      <c r="M67" s="439"/>
      <c r="N67" s="383"/>
      <c r="O67" s="390"/>
      <c r="P67" s="436"/>
      <c r="Q67" s="436"/>
      <c r="R67" s="436"/>
      <c r="S67" s="436"/>
      <c r="T67" s="436"/>
      <c r="U67" s="436"/>
      <c r="V67" s="437"/>
      <c r="W67" s="438"/>
      <c r="X67" s="438"/>
      <c r="Y67" s="438"/>
      <c r="Z67" s="438"/>
      <c r="AA67" s="438"/>
      <c r="AB67" s="438"/>
      <c r="AC67" s="438"/>
      <c r="AD67" s="439"/>
      <c r="AF67" s="84">
        <f>8*3000</f>
        <v>24000</v>
      </c>
    </row>
    <row r="68" spans="1:32" ht="27" customHeight="1" thickBot="1">
      <c r="A68" s="445"/>
      <c r="B68" s="446"/>
      <c r="C68" s="385"/>
      <c r="D68" s="386"/>
      <c r="E68" s="385"/>
      <c r="F68" s="447"/>
      <c r="G68" s="448"/>
      <c r="H68" s="448"/>
      <c r="I68" s="448"/>
      <c r="J68" s="448"/>
      <c r="K68" s="448"/>
      <c r="L68" s="448"/>
      <c r="M68" s="449"/>
      <c r="N68" s="111"/>
      <c r="O68" s="103"/>
      <c r="P68" s="450"/>
      <c r="Q68" s="450"/>
      <c r="R68" s="450"/>
      <c r="S68" s="450"/>
      <c r="T68" s="450"/>
      <c r="U68" s="450"/>
      <c r="V68" s="451"/>
      <c r="W68" s="451"/>
      <c r="X68" s="451"/>
      <c r="Y68" s="451"/>
      <c r="Z68" s="451"/>
      <c r="AA68" s="451"/>
      <c r="AB68" s="451"/>
      <c r="AC68" s="451"/>
      <c r="AD68" s="452"/>
      <c r="AF68" s="84">
        <f>16*3000</f>
        <v>48000</v>
      </c>
    </row>
    <row r="69" spans="1:32" ht="27.75" thickBot="1">
      <c r="A69" s="455" t="s">
        <v>545</v>
      </c>
      <c r="B69" s="455"/>
      <c r="C69" s="455"/>
      <c r="D69" s="455"/>
      <c r="E69" s="455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456" t="s">
        <v>111</v>
      </c>
      <c r="B70" s="457"/>
      <c r="C70" s="388" t="s">
        <v>2</v>
      </c>
      <c r="D70" s="388" t="s">
        <v>37</v>
      </c>
      <c r="E70" s="388" t="s">
        <v>3</v>
      </c>
      <c r="F70" s="457" t="s">
        <v>109</v>
      </c>
      <c r="G70" s="457"/>
      <c r="H70" s="457"/>
      <c r="I70" s="457"/>
      <c r="J70" s="457"/>
      <c r="K70" s="457" t="s">
        <v>39</v>
      </c>
      <c r="L70" s="457"/>
      <c r="M70" s="388" t="s">
        <v>40</v>
      </c>
      <c r="N70" s="457" t="s">
        <v>41</v>
      </c>
      <c r="O70" s="457"/>
      <c r="P70" s="458" t="s">
        <v>42</v>
      </c>
      <c r="Q70" s="459"/>
      <c r="R70" s="458" t="s">
        <v>43</v>
      </c>
      <c r="S70" s="460"/>
      <c r="T70" s="460"/>
      <c r="U70" s="460"/>
      <c r="V70" s="460"/>
      <c r="W70" s="460"/>
      <c r="X70" s="460"/>
      <c r="Y70" s="460"/>
      <c r="Z70" s="460"/>
      <c r="AA70" s="459"/>
      <c r="AB70" s="457" t="s">
        <v>44</v>
      </c>
      <c r="AC70" s="457"/>
      <c r="AD70" s="461"/>
      <c r="AF70" s="84">
        <f>SUM(AF67:AF69)</f>
        <v>96000</v>
      </c>
    </row>
    <row r="71" spans="1:32" ht="25.5" customHeight="1">
      <c r="A71" s="462">
        <v>1</v>
      </c>
      <c r="B71" s="463"/>
      <c r="C71" s="104" t="s">
        <v>116</v>
      </c>
      <c r="D71" s="392"/>
      <c r="E71" s="389" t="s">
        <v>155</v>
      </c>
      <c r="F71" s="464" t="s">
        <v>518</v>
      </c>
      <c r="G71" s="465"/>
      <c r="H71" s="465"/>
      <c r="I71" s="465"/>
      <c r="J71" s="465"/>
      <c r="K71" s="465" t="s">
        <v>520</v>
      </c>
      <c r="L71" s="465"/>
      <c r="M71" s="51" t="s">
        <v>272</v>
      </c>
      <c r="N71" s="466" t="s">
        <v>223</v>
      </c>
      <c r="O71" s="466"/>
      <c r="P71" s="467">
        <v>50</v>
      </c>
      <c r="Q71" s="467"/>
      <c r="R71" s="443" t="s">
        <v>243</v>
      </c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2</v>
      </c>
      <c r="B72" s="463"/>
      <c r="C72" s="104"/>
      <c r="D72" s="392"/>
      <c r="E72" s="389"/>
      <c r="F72" s="464"/>
      <c r="G72" s="465"/>
      <c r="H72" s="465"/>
      <c r="I72" s="465"/>
      <c r="J72" s="465"/>
      <c r="K72" s="465"/>
      <c r="L72" s="465"/>
      <c r="M72" s="51"/>
      <c r="N72" s="466"/>
      <c r="O72" s="466"/>
      <c r="P72" s="467"/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3</v>
      </c>
      <c r="B73" s="463"/>
      <c r="C73" s="104"/>
      <c r="D73" s="392"/>
      <c r="E73" s="389"/>
      <c r="F73" s="464"/>
      <c r="G73" s="465"/>
      <c r="H73" s="465"/>
      <c r="I73" s="465"/>
      <c r="J73" s="465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4</v>
      </c>
      <c r="B74" s="463"/>
      <c r="C74" s="104"/>
      <c r="D74" s="392"/>
      <c r="E74" s="389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5</v>
      </c>
      <c r="B75" s="463"/>
      <c r="C75" s="104"/>
      <c r="D75" s="392"/>
      <c r="E75" s="389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6</v>
      </c>
      <c r="B76" s="463"/>
      <c r="C76" s="104"/>
      <c r="D76" s="392"/>
      <c r="E76" s="389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7</v>
      </c>
      <c r="B77" s="463"/>
      <c r="C77" s="104"/>
      <c r="D77" s="392"/>
      <c r="E77" s="389"/>
      <c r="F77" s="469"/>
      <c r="G77" s="470"/>
      <c r="H77" s="470"/>
      <c r="I77" s="470"/>
      <c r="J77" s="471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8</v>
      </c>
      <c r="B78" s="463"/>
      <c r="C78" s="104"/>
      <c r="D78" s="392"/>
      <c r="E78" s="389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9</v>
      </c>
      <c r="B79" s="463"/>
      <c r="C79" s="104"/>
      <c r="D79" s="392"/>
      <c r="E79" s="389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5.5" customHeight="1">
      <c r="A80" s="462">
        <v>10</v>
      </c>
      <c r="B80" s="463"/>
      <c r="C80" s="104"/>
      <c r="D80" s="392"/>
      <c r="E80" s="389"/>
      <c r="F80" s="464"/>
      <c r="G80" s="465"/>
      <c r="H80" s="465"/>
      <c r="I80" s="465"/>
      <c r="J80" s="465"/>
      <c r="K80" s="465"/>
      <c r="L80" s="465"/>
      <c r="M80" s="51"/>
      <c r="N80" s="466"/>
      <c r="O80" s="466"/>
      <c r="P80" s="467"/>
      <c r="Q80" s="467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65"/>
      <c r="AC80" s="465"/>
      <c r="AD80" s="468"/>
      <c r="AF80" s="50"/>
    </row>
    <row r="81" spans="1:32" ht="26.25" customHeight="1" thickBot="1">
      <c r="A81" s="472" t="s">
        <v>546</v>
      </c>
      <c r="B81" s="472"/>
      <c r="C81" s="472"/>
      <c r="D81" s="472"/>
      <c r="E81" s="472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73" t="s">
        <v>111</v>
      </c>
      <c r="B82" s="474"/>
      <c r="C82" s="391" t="s">
        <v>2</v>
      </c>
      <c r="D82" s="391" t="s">
        <v>37</v>
      </c>
      <c r="E82" s="391" t="s">
        <v>120</v>
      </c>
      <c r="F82" s="475" t="s">
        <v>38</v>
      </c>
      <c r="G82" s="475"/>
      <c r="H82" s="475"/>
      <c r="I82" s="475"/>
      <c r="J82" s="475"/>
      <c r="K82" s="476" t="s">
        <v>58</v>
      </c>
      <c r="L82" s="477"/>
      <c r="M82" s="477"/>
      <c r="N82" s="477"/>
      <c r="O82" s="477"/>
      <c r="P82" s="477"/>
      <c r="Q82" s="477"/>
      <c r="R82" s="477"/>
      <c r="S82" s="478"/>
      <c r="T82" s="475" t="s">
        <v>49</v>
      </c>
      <c r="U82" s="475"/>
      <c r="V82" s="476" t="s">
        <v>50</v>
      </c>
      <c r="W82" s="478"/>
      <c r="X82" s="477" t="s">
        <v>51</v>
      </c>
      <c r="Y82" s="477"/>
      <c r="Z82" s="477"/>
      <c r="AA82" s="477"/>
      <c r="AB82" s="477"/>
      <c r="AC82" s="477"/>
      <c r="AD82" s="479"/>
      <c r="AF82" s="50"/>
    </row>
    <row r="83" spans="1:32" ht="33.75" customHeight="1">
      <c r="A83" s="488">
        <v>1</v>
      </c>
      <c r="B83" s="489"/>
      <c r="C83" s="393"/>
      <c r="D83" s="393"/>
      <c r="E83" s="65"/>
      <c r="F83" s="490"/>
      <c r="G83" s="491"/>
      <c r="H83" s="491"/>
      <c r="I83" s="491"/>
      <c r="J83" s="492"/>
      <c r="K83" s="493"/>
      <c r="L83" s="494"/>
      <c r="M83" s="494"/>
      <c r="N83" s="494"/>
      <c r="O83" s="494"/>
      <c r="P83" s="494"/>
      <c r="Q83" s="494"/>
      <c r="R83" s="494"/>
      <c r="S83" s="495"/>
      <c r="T83" s="496"/>
      <c r="U83" s="497"/>
      <c r="V83" s="498"/>
      <c r="W83" s="498"/>
      <c r="X83" s="499"/>
      <c r="Y83" s="499"/>
      <c r="Z83" s="499"/>
      <c r="AA83" s="499"/>
      <c r="AB83" s="499"/>
      <c r="AC83" s="499"/>
      <c r="AD83" s="500"/>
      <c r="AF83" s="50"/>
    </row>
    <row r="84" spans="1:32" ht="30" customHeight="1">
      <c r="A84" s="480">
        <f>A83+1</f>
        <v>2</v>
      </c>
      <c r="B84" s="481"/>
      <c r="C84" s="392"/>
      <c r="D84" s="392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ref="A85:A89" si="20">A84+1</f>
        <v>3</v>
      </c>
      <c r="B85" s="481"/>
      <c r="C85" s="392"/>
      <c r="D85" s="392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20"/>
        <v>4</v>
      </c>
      <c r="B86" s="481"/>
      <c r="C86" s="392"/>
      <c r="D86" s="392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20"/>
        <v>5</v>
      </c>
      <c r="B87" s="481"/>
      <c r="C87" s="392"/>
      <c r="D87" s="392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20"/>
        <v>6</v>
      </c>
      <c r="B88" s="481"/>
      <c r="C88" s="392"/>
      <c r="D88" s="392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0" customHeight="1">
      <c r="A89" s="480">
        <f t="shared" si="20"/>
        <v>7</v>
      </c>
      <c r="B89" s="481"/>
      <c r="C89" s="392"/>
      <c r="D89" s="392"/>
      <c r="E89" s="32"/>
      <c r="F89" s="481"/>
      <c r="G89" s="481"/>
      <c r="H89" s="481"/>
      <c r="I89" s="481"/>
      <c r="J89" s="481"/>
      <c r="K89" s="482"/>
      <c r="L89" s="483"/>
      <c r="M89" s="483"/>
      <c r="N89" s="483"/>
      <c r="O89" s="483"/>
      <c r="P89" s="483"/>
      <c r="Q89" s="483"/>
      <c r="R89" s="483"/>
      <c r="S89" s="484"/>
      <c r="T89" s="485"/>
      <c r="U89" s="485"/>
      <c r="V89" s="485"/>
      <c r="W89" s="485"/>
      <c r="X89" s="486"/>
      <c r="Y89" s="486"/>
      <c r="Z89" s="486"/>
      <c r="AA89" s="486"/>
      <c r="AB89" s="486"/>
      <c r="AC89" s="486"/>
      <c r="AD89" s="487"/>
      <c r="AF89" s="50"/>
    </row>
    <row r="90" spans="1:32" ht="36" thickBot="1">
      <c r="A90" s="472" t="s">
        <v>547</v>
      </c>
      <c r="B90" s="472"/>
      <c r="C90" s="472"/>
      <c r="D90" s="472"/>
      <c r="E90" s="472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01" t="s">
        <v>111</v>
      </c>
      <c r="B91" s="475"/>
      <c r="C91" s="502" t="s">
        <v>52</v>
      </c>
      <c r="D91" s="502"/>
      <c r="E91" s="502" t="s">
        <v>53</v>
      </c>
      <c r="F91" s="502"/>
      <c r="G91" s="502"/>
      <c r="H91" s="502"/>
      <c r="I91" s="502"/>
      <c r="J91" s="502"/>
      <c r="K91" s="502" t="s">
        <v>54</v>
      </c>
      <c r="L91" s="502"/>
      <c r="M91" s="502"/>
      <c r="N91" s="502"/>
      <c r="O91" s="502"/>
      <c r="P91" s="502"/>
      <c r="Q91" s="502"/>
      <c r="R91" s="502"/>
      <c r="S91" s="502"/>
      <c r="T91" s="502" t="s">
        <v>55</v>
      </c>
      <c r="U91" s="502"/>
      <c r="V91" s="502" t="s">
        <v>56</v>
      </c>
      <c r="W91" s="502"/>
      <c r="X91" s="502"/>
      <c r="Y91" s="502" t="s">
        <v>51</v>
      </c>
      <c r="Z91" s="502"/>
      <c r="AA91" s="502"/>
      <c r="AB91" s="502"/>
      <c r="AC91" s="502"/>
      <c r="AD91" s="503"/>
      <c r="AF91" s="50"/>
    </row>
    <row r="92" spans="1:32" ht="30.75" customHeight="1">
      <c r="A92" s="488">
        <v>1</v>
      </c>
      <c r="B92" s="489"/>
      <c r="C92" s="504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5"/>
      <c r="W92" s="505"/>
      <c r="X92" s="505"/>
      <c r="Y92" s="506"/>
      <c r="Z92" s="506"/>
      <c r="AA92" s="506"/>
      <c r="AB92" s="506"/>
      <c r="AC92" s="506"/>
      <c r="AD92" s="507"/>
      <c r="AF92" s="50"/>
    </row>
    <row r="93" spans="1:32" ht="30.75" customHeight="1">
      <c r="A93" s="480">
        <v>2</v>
      </c>
      <c r="B93" s="481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7"/>
      <c r="U93" s="517"/>
      <c r="V93" s="518"/>
      <c r="W93" s="518"/>
      <c r="X93" s="518"/>
      <c r="Y93" s="508"/>
      <c r="Z93" s="508"/>
      <c r="AA93" s="508"/>
      <c r="AB93" s="508"/>
      <c r="AC93" s="508"/>
      <c r="AD93" s="509"/>
      <c r="AF93" s="50"/>
    </row>
    <row r="94" spans="1:32" ht="30.75" customHeight="1" thickBot="1">
      <c r="A94" s="510">
        <v>3</v>
      </c>
      <c r="B94" s="511"/>
      <c r="C94" s="512"/>
      <c r="D94" s="512"/>
      <c r="E94" s="512"/>
      <c r="F94" s="512"/>
      <c r="G94" s="512"/>
      <c r="H94" s="512"/>
      <c r="I94" s="512"/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2"/>
      <c r="V94" s="513"/>
      <c r="W94" s="513"/>
      <c r="X94" s="513"/>
      <c r="Y94" s="514"/>
      <c r="Z94" s="514"/>
      <c r="AA94" s="514"/>
      <c r="AB94" s="514"/>
      <c r="AC94" s="514"/>
      <c r="AD94" s="515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DEE9-8228-4973-B9E3-C3CC55FD2915}">
  <sheetPr>
    <pageSetUpPr fitToPage="1"/>
  </sheetPr>
  <dimension ref="A1:AF93"/>
  <sheetViews>
    <sheetView tabSelected="1" view="pageBreakPreview" zoomScale="70" zoomScaleNormal="72" zoomScaleSheetLayoutView="70" workbookViewId="0">
      <selection activeCell="K85" sqref="K85:S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5" t="s">
        <v>548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6"/>
      <c r="B3" s="396"/>
      <c r="C3" s="396"/>
      <c r="D3" s="396"/>
      <c r="E3" s="396"/>
      <c r="F3" s="396"/>
      <c r="G3" s="39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7" t="s">
        <v>0</v>
      </c>
      <c r="B4" s="399" t="s">
        <v>1</v>
      </c>
      <c r="C4" s="399" t="s">
        <v>2</v>
      </c>
      <c r="D4" s="402" t="s">
        <v>3</v>
      </c>
      <c r="E4" s="404" t="s">
        <v>4</v>
      </c>
      <c r="F4" s="402" t="s">
        <v>5</v>
      </c>
      <c r="G4" s="399" t="s">
        <v>6</v>
      </c>
      <c r="H4" s="405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1"/>
      <c r="T4" s="431"/>
      <c r="U4" s="431"/>
      <c r="V4" s="432"/>
      <c r="W4" s="431" t="s">
        <v>11</v>
      </c>
      <c r="X4" s="431"/>
      <c r="Y4" s="431"/>
      <c r="Z4" s="431"/>
      <c r="AA4" s="432"/>
      <c r="AB4" s="433" t="s">
        <v>12</v>
      </c>
      <c r="AC4" s="407" t="s">
        <v>13</v>
      </c>
      <c r="AD4" s="407" t="s">
        <v>14</v>
      </c>
      <c r="AE4" s="54"/>
    </row>
    <row r="5" spans="1:32" ht="51" customHeight="1" thickBot="1">
      <c r="A5" s="398"/>
      <c r="B5" s="400"/>
      <c r="C5" s="401"/>
      <c r="D5" s="403"/>
      <c r="E5" s="403"/>
      <c r="F5" s="403"/>
      <c r="G5" s="400"/>
      <c r="H5" s="406"/>
      <c r="I5" s="55" t="s">
        <v>15</v>
      </c>
      <c r="J5" s="56" t="s">
        <v>16</v>
      </c>
      <c r="K5" s="381" t="s">
        <v>17</v>
      </c>
      <c r="L5" s="381" t="s">
        <v>18</v>
      </c>
      <c r="M5" s="381" t="s">
        <v>19</v>
      </c>
      <c r="N5" s="3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4"/>
      <c r="AC5" s="408"/>
      <c r="AD5" s="408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155</v>
      </c>
      <c r="E6" s="53" t="s">
        <v>528</v>
      </c>
      <c r="F6" s="30" t="s">
        <v>153</v>
      </c>
      <c r="G6" s="12">
        <v>1</v>
      </c>
      <c r="H6" s="13">
        <v>24</v>
      </c>
      <c r="I6" s="31">
        <v>5000</v>
      </c>
      <c r="J6" s="14">
        <v>5610</v>
      </c>
      <c r="K6" s="15">
        <f>L6+2806</f>
        <v>8416</v>
      </c>
      <c r="L6" s="15">
        <f>2579+3031</f>
        <v>5610</v>
      </c>
      <c r="M6" s="15">
        <f t="shared" ref="M6:M27" si="0">L6-N6</f>
        <v>5610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>$AD$28</f>
        <v>0.38839225170652319</v>
      </c>
      <c r="AF6" s="84">
        <f t="shared" ref="AF6:AF27" si="7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155</v>
      </c>
      <c r="E7" s="53" t="s">
        <v>543</v>
      </c>
      <c r="F7" s="30" t="s">
        <v>153</v>
      </c>
      <c r="G7" s="12">
        <v>2</v>
      </c>
      <c r="H7" s="13">
        <v>24</v>
      </c>
      <c r="I7" s="31">
        <v>29000</v>
      </c>
      <c r="J7" s="14">
        <v>6033</v>
      </c>
      <c r="K7" s="15">
        <f>L7</f>
        <v>6066</v>
      </c>
      <c r="L7" s="15">
        <f>3033*2</f>
        <v>6066</v>
      </c>
      <c r="M7" s="15">
        <f t="shared" si="0"/>
        <v>6066</v>
      </c>
      <c r="N7" s="15">
        <v>0</v>
      </c>
      <c r="O7" s="58">
        <f t="shared" si="1"/>
        <v>0</v>
      </c>
      <c r="P7" s="39">
        <f t="shared" si="2"/>
        <v>13</v>
      </c>
      <c r="Q7" s="40">
        <f t="shared" si="3"/>
        <v>11</v>
      </c>
      <c r="R7" s="7"/>
      <c r="S7" s="6"/>
      <c r="T7" s="16"/>
      <c r="U7" s="16"/>
      <c r="V7" s="17"/>
      <c r="W7" s="5"/>
      <c r="X7" s="16"/>
      <c r="Y7" s="16"/>
      <c r="Z7" s="16"/>
      <c r="AA7" s="18">
        <v>11</v>
      </c>
      <c r="AB7" s="8">
        <f t="shared" si="4"/>
        <v>1.0054699154649429</v>
      </c>
      <c r="AC7" s="9">
        <f t="shared" si="5"/>
        <v>0.54166666666666663</v>
      </c>
      <c r="AD7" s="10">
        <f t="shared" si="6"/>
        <v>0.54462953754351073</v>
      </c>
      <c r="AE7" s="36">
        <f>$AD$28</f>
        <v>0.38839225170652319</v>
      </c>
      <c r="AF7" s="84">
        <f t="shared" si="7"/>
        <v>2</v>
      </c>
    </row>
    <row r="8" spans="1:32" ht="27" customHeight="1">
      <c r="A8" s="112">
        <v>3</v>
      </c>
      <c r="B8" s="11" t="s">
        <v>57</v>
      </c>
      <c r="C8" s="34" t="s">
        <v>130</v>
      </c>
      <c r="D8" s="52" t="s">
        <v>310</v>
      </c>
      <c r="E8" s="53" t="s">
        <v>537</v>
      </c>
      <c r="F8" s="30" t="s">
        <v>147</v>
      </c>
      <c r="G8" s="12">
        <v>1</v>
      </c>
      <c r="H8" s="13">
        <v>24</v>
      </c>
      <c r="I8" s="7">
        <v>2000</v>
      </c>
      <c r="J8" s="14">
        <v>3898</v>
      </c>
      <c r="K8" s="15">
        <f>L8+3687</f>
        <v>7585</v>
      </c>
      <c r="L8" s="15">
        <f>1719+2179</f>
        <v>3898</v>
      </c>
      <c r="M8" s="15">
        <f t="shared" si="0"/>
        <v>3898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>$AD$28</f>
        <v>0.38839225170652319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259</v>
      </c>
      <c r="E9" s="53" t="s">
        <v>410</v>
      </c>
      <c r="F9" s="30" t="s">
        <v>411</v>
      </c>
      <c r="G9" s="12">
        <v>1</v>
      </c>
      <c r="H9" s="13">
        <v>24</v>
      </c>
      <c r="I9" s="7">
        <v>36000</v>
      </c>
      <c r="J9" s="14">
        <v>5418</v>
      </c>
      <c r="K9" s="15">
        <f>L9+2149+1588+3170+3177+1793+2296+5336+5578+5627</f>
        <v>36132</v>
      </c>
      <c r="L9" s="15">
        <f>2624+2794</f>
        <v>5418</v>
      </c>
      <c r="M9" s="15">
        <f t="shared" si="0"/>
        <v>5418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>$AD$28</f>
        <v>0.38839225170652319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157</v>
      </c>
      <c r="E10" s="53" t="s">
        <v>422</v>
      </c>
      <c r="F10" s="30" t="s">
        <v>132</v>
      </c>
      <c r="G10" s="33">
        <v>4</v>
      </c>
      <c r="H10" s="35">
        <v>24</v>
      </c>
      <c r="I10" s="7">
        <v>2000</v>
      </c>
      <c r="J10" s="14">
        <v>4228</v>
      </c>
      <c r="K10" s="15">
        <f>L10+4228</f>
        <v>4228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>$AD$28</f>
        <v>0.38839225170652319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498</v>
      </c>
      <c r="E11" s="53" t="s">
        <v>425</v>
      </c>
      <c r="F11" s="30" t="s">
        <v>144</v>
      </c>
      <c r="G11" s="33">
        <v>2</v>
      </c>
      <c r="H11" s="35">
        <v>24</v>
      </c>
      <c r="I11" s="7">
        <v>1000</v>
      </c>
      <c r="J11" s="14">
        <v>1642</v>
      </c>
      <c r="K11" s="15">
        <f>L11+1642</f>
        <v>1642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>$AD$28</f>
        <v>0.38839225170652319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455</v>
      </c>
      <c r="F12" s="30" t="s">
        <v>123</v>
      </c>
      <c r="G12" s="12">
        <v>1</v>
      </c>
      <c r="H12" s="13">
        <v>22</v>
      </c>
      <c r="I12" s="31">
        <v>70000</v>
      </c>
      <c r="J12" s="5">
        <v>5153</v>
      </c>
      <c r="K12" s="15">
        <f>L12+5056+5299+5142+4725+5285+5308+3502</f>
        <v>39470</v>
      </c>
      <c r="L12" s="15">
        <f>2488+2665</f>
        <v>5153</v>
      </c>
      <c r="M12" s="15">
        <f t="shared" si="0"/>
        <v>5153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>$AD$28</f>
        <v>0.38839225170652319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259</v>
      </c>
      <c r="E13" s="53" t="s">
        <v>481</v>
      </c>
      <c r="F13" s="30" t="s">
        <v>123</v>
      </c>
      <c r="G13" s="33">
        <v>2</v>
      </c>
      <c r="H13" s="35">
        <v>22</v>
      </c>
      <c r="I13" s="7">
        <v>30000</v>
      </c>
      <c r="J13" s="14">
        <v>13436</v>
      </c>
      <c r="K13" s="15">
        <f>L13+6708+13390+13428+13596</f>
        <v>60558</v>
      </c>
      <c r="L13" s="15">
        <f>3352*2+3366*2</f>
        <v>13436</v>
      </c>
      <c r="M13" s="15">
        <f t="shared" si="0"/>
        <v>13436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>$AD$28</f>
        <v>0.38839225170652319</v>
      </c>
      <c r="AF13" s="84">
        <f t="shared" si="7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482</v>
      </c>
      <c r="F14" s="30" t="s">
        <v>457</v>
      </c>
      <c r="G14" s="33">
        <v>1</v>
      </c>
      <c r="H14" s="35">
        <v>30</v>
      </c>
      <c r="I14" s="7">
        <v>3500</v>
      </c>
      <c r="J14" s="5">
        <v>714</v>
      </c>
      <c r="K14" s="15">
        <f>L14+1335+1471+1250</f>
        <v>4770</v>
      </c>
      <c r="L14" s="15">
        <v>714</v>
      </c>
      <c r="M14" s="15">
        <f t="shared" si="0"/>
        <v>714</v>
      </c>
      <c r="N14" s="15">
        <v>0</v>
      </c>
      <c r="O14" s="58">
        <f t="shared" si="1"/>
        <v>0</v>
      </c>
      <c r="P14" s="39">
        <f t="shared" si="2"/>
        <v>9</v>
      </c>
      <c r="Q14" s="40">
        <f t="shared" si="3"/>
        <v>15</v>
      </c>
      <c r="R14" s="7"/>
      <c r="S14" s="6"/>
      <c r="T14" s="16"/>
      <c r="U14" s="16"/>
      <c r="V14" s="17">
        <v>15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0.375</v>
      </c>
      <c r="AD14" s="10">
        <f t="shared" si="6"/>
        <v>0.375</v>
      </c>
      <c r="AE14" s="36">
        <f>$AD$28</f>
        <v>0.38839225170652319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128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>$AD$28</f>
        <v>0.38839225170652319</v>
      </c>
      <c r="AF15" s="84">
        <f t="shared" si="7"/>
        <v>10</v>
      </c>
    </row>
    <row r="16" spans="1:32" ht="27" customHeight="1">
      <c r="A16" s="112">
        <v>11</v>
      </c>
      <c r="B16" s="11" t="s">
        <v>57</v>
      </c>
      <c r="C16" s="34" t="s">
        <v>145</v>
      </c>
      <c r="D16" s="52"/>
      <c r="E16" s="53" t="s">
        <v>236</v>
      </c>
      <c r="F16" s="30" t="s">
        <v>146</v>
      </c>
      <c r="G16" s="12">
        <v>32</v>
      </c>
      <c r="H16" s="13">
        <v>24</v>
      </c>
      <c r="I16" s="7">
        <v>2000000</v>
      </c>
      <c r="J16" s="14">
        <v>402688</v>
      </c>
      <c r="K16" s="15">
        <f>L16+305888+365184+357152+391744+392352+402688</f>
        <v>2215008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>$AD$28</f>
        <v>0.38839225170652319</v>
      </c>
      <c r="AF16" s="84">
        <f t="shared" si="7"/>
        <v>11</v>
      </c>
    </row>
    <row r="17" spans="1:32" ht="27" customHeight="1">
      <c r="A17" s="95">
        <v>12</v>
      </c>
      <c r="B17" s="11" t="s">
        <v>57</v>
      </c>
      <c r="C17" s="34" t="s">
        <v>130</v>
      </c>
      <c r="D17" s="52" t="s">
        <v>439</v>
      </c>
      <c r="E17" s="53" t="s">
        <v>440</v>
      </c>
      <c r="F17" s="30" t="s">
        <v>159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>$AD$28</f>
        <v>0.38839225170652319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34" t="s">
        <v>112</v>
      </c>
      <c r="D18" s="52" t="s">
        <v>115</v>
      </c>
      <c r="E18" s="53" t="s">
        <v>503</v>
      </c>
      <c r="F18" s="30" t="s">
        <v>147</v>
      </c>
      <c r="G18" s="12">
        <v>2</v>
      </c>
      <c r="H18" s="13">
        <v>22</v>
      </c>
      <c r="I18" s="31">
        <v>30000</v>
      </c>
      <c r="J18" s="5">
        <v>10864</v>
      </c>
      <c r="K18" s="15">
        <f>L18+9826+11714+9940</f>
        <v>42344</v>
      </c>
      <c r="L18" s="15">
        <f>2756*2+2676*2</f>
        <v>10864</v>
      </c>
      <c r="M18" s="15">
        <f t="shared" si="0"/>
        <v>10864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>$AD$28</f>
        <v>0.38839225170652319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531</v>
      </c>
      <c r="D19" s="52" t="s">
        <v>532</v>
      </c>
      <c r="E19" s="53" t="s">
        <v>530</v>
      </c>
      <c r="F19" s="30" t="s">
        <v>538</v>
      </c>
      <c r="G19" s="12">
        <v>1</v>
      </c>
      <c r="H19" s="13">
        <v>24</v>
      </c>
      <c r="I19" s="7">
        <v>5000</v>
      </c>
      <c r="J19" s="14">
        <v>5257</v>
      </c>
      <c r="K19" s="15">
        <f>L19+4914</f>
        <v>10171</v>
      </c>
      <c r="L19" s="15">
        <f>3573+1684</f>
        <v>5257</v>
      </c>
      <c r="M19" s="15">
        <f t="shared" si="0"/>
        <v>5257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>$AD$28</f>
        <v>0.38839225170652319</v>
      </c>
      <c r="AF19" s="84">
        <f t="shared" si="7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129</v>
      </c>
      <c r="E20" s="53" t="s">
        <v>324</v>
      </c>
      <c r="F20" s="30" t="s">
        <v>124</v>
      </c>
      <c r="G20" s="33">
        <v>4</v>
      </c>
      <c r="H20" s="35">
        <v>24</v>
      </c>
      <c r="I20" s="7">
        <v>250000</v>
      </c>
      <c r="J20" s="14">
        <v>19860</v>
      </c>
      <c r="K20" s="15">
        <f>L20+16424+3460+8466+14048+14809+10420+6468+20028+25064+24256+18744+23224+19112+21656</f>
        <v>246039</v>
      </c>
      <c r="L20" s="15">
        <f>2842*4+2123*4</f>
        <v>19860</v>
      </c>
      <c r="M20" s="15">
        <f t="shared" si="0"/>
        <v>19860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>$AD$28</f>
        <v>0.38839225170652319</v>
      </c>
      <c r="AF20" s="84">
        <f t="shared" si="7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328</v>
      </c>
      <c r="F21" s="12" t="s">
        <v>114</v>
      </c>
      <c r="G21" s="12">
        <v>4</v>
      </c>
      <c r="H21" s="35">
        <v>20</v>
      </c>
      <c r="I21" s="7">
        <v>300000</v>
      </c>
      <c r="J21" s="14">
        <v>8901</v>
      </c>
      <c r="K21" s="15">
        <f>L21+30164+39608+36320+8901</f>
        <v>114993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>$AD$28</f>
        <v>0.38839225170652319</v>
      </c>
      <c r="AF21" s="84">
        <f t="shared" si="7"/>
        <v>16</v>
      </c>
    </row>
    <row r="22" spans="1:32" ht="21.75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8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>$AD$28</f>
        <v>0.38839225170652319</v>
      </c>
      <c r="AF22" s="84">
        <f t="shared" si="7"/>
        <v>31</v>
      </c>
    </row>
    <row r="23" spans="1:32" ht="21.75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8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>$AD$28</f>
        <v>0.38839225170652319</v>
      </c>
      <c r="AF23" s="84">
        <f t="shared" si="7"/>
        <v>32</v>
      </c>
    </row>
    <row r="24" spans="1:32" ht="21.75" customHeight="1">
      <c r="A24" s="96">
        <v>33</v>
      </c>
      <c r="B24" s="11" t="s">
        <v>57</v>
      </c>
      <c r="C24" s="11" t="s">
        <v>116</v>
      </c>
      <c r="D24" s="52" t="s">
        <v>498</v>
      </c>
      <c r="E24" s="53" t="s">
        <v>484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>$AD$28</f>
        <v>0.38839225170652319</v>
      </c>
      <c r="AF24" s="84">
        <f t="shared" si="7"/>
        <v>33</v>
      </c>
    </row>
    <row r="25" spans="1:32" ht="21.75" customHeight="1">
      <c r="A25" s="96">
        <v>34</v>
      </c>
      <c r="B25" s="11" t="s">
        <v>57</v>
      </c>
      <c r="C25" s="11" t="s">
        <v>116</v>
      </c>
      <c r="D25" s="52" t="s">
        <v>133</v>
      </c>
      <c r="E25" s="53" t="s">
        <v>137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>$AD$28</f>
        <v>0.38839225170652319</v>
      </c>
      <c r="AF25" s="84">
        <f t="shared" si="7"/>
        <v>34</v>
      </c>
    </row>
    <row r="26" spans="1:32" ht="21.75" customHeight="1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>$AD$28</f>
        <v>0.38839225170652319</v>
      </c>
      <c r="AF26" s="84">
        <f t="shared" si="7"/>
        <v>35</v>
      </c>
    </row>
    <row r="27" spans="1:32" ht="21.75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489</v>
      </c>
      <c r="F27" s="12" t="s">
        <v>147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>$AD$28</f>
        <v>0.38839225170652319</v>
      </c>
      <c r="AF27" s="84">
        <f t="shared" si="7"/>
        <v>36</v>
      </c>
    </row>
    <row r="28" spans="1:32" ht="19.5" thickBot="1">
      <c r="A28" s="409" t="s">
        <v>34</v>
      </c>
      <c r="B28" s="410"/>
      <c r="C28" s="410"/>
      <c r="D28" s="410"/>
      <c r="E28" s="410"/>
      <c r="F28" s="410"/>
      <c r="G28" s="410"/>
      <c r="H28" s="411"/>
      <c r="I28" s="22">
        <f>SUM(I6:I27)</f>
        <v>3057500</v>
      </c>
      <c r="J28" s="19">
        <f>SUM(J6:J27)</f>
        <v>606017</v>
      </c>
      <c r="K28" s="20">
        <f>SUM(K6:K27)</f>
        <v>3166633</v>
      </c>
      <c r="L28" s="21">
        <f>SUM(L6:L27)</f>
        <v>76276</v>
      </c>
      <c r="M28" s="20">
        <f>SUM(M6:M27)</f>
        <v>76276</v>
      </c>
      <c r="N28" s="21">
        <f>SUM(N6:N27)</f>
        <v>0</v>
      </c>
      <c r="O28" s="41">
        <f t="shared" si="1"/>
        <v>0</v>
      </c>
      <c r="P28" s="42">
        <f>SUM(P6:P27)</f>
        <v>205</v>
      </c>
      <c r="Q28" s="43">
        <f>SUM(Q6:Q27)</f>
        <v>323</v>
      </c>
      <c r="R28" s="23">
        <f>SUM(R6:R27)</f>
        <v>0</v>
      </c>
      <c r="S28" s="24">
        <f>SUM(S6:S27)</f>
        <v>9</v>
      </c>
      <c r="T28" s="24">
        <f>SUM(T6:T27)</f>
        <v>0</v>
      </c>
      <c r="U28" s="24">
        <f>SUM(U6:U27)</f>
        <v>0</v>
      </c>
      <c r="V28" s="25">
        <f>SUM(V6:V27)</f>
        <v>39</v>
      </c>
      <c r="W28" s="26">
        <f>SUM(W6:W27)</f>
        <v>240</v>
      </c>
      <c r="X28" s="27">
        <f>SUM(X6:X27)</f>
        <v>0</v>
      </c>
      <c r="Y28" s="27">
        <f>SUM(Y6:Y27)</f>
        <v>0</v>
      </c>
      <c r="Z28" s="27">
        <f>SUM(Z6:Z27)</f>
        <v>0</v>
      </c>
      <c r="AA28" s="27">
        <f>SUM(AA6:AA27)</f>
        <v>35</v>
      </c>
      <c r="AB28" s="28">
        <f>AVERAGE(AB6:AB27)</f>
        <v>0.50027349577324709</v>
      </c>
      <c r="AC28" s="4">
        <f>AVERAGE(AC6:AC27)</f>
        <v>0.3882575757575758</v>
      </c>
      <c r="AD28" s="4">
        <f>AVERAGE(AD6:AD27)</f>
        <v>0.38839225170652319</v>
      </c>
      <c r="AE28" s="29"/>
    </row>
    <row r="29" spans="1:32">
      <c r="T29" s="50" t="s">
        <v>134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12" t="s">
        <v>45</v>
      </c>
      <c r="B55" s="412"/>
      <c r="C55" s="412"/>
      <c r="D55" s="412"/>
      <c r="E55" s="41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13" t="s">
        <v>549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5"/>
      <c r="N56" s="416" t="s">
        <v>552</v>
      </c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8"/>
    </row>
    <row r="57" spans="1:32" ht="27" customHeight="1">
      <c r="A57" s="419" t="s">
        <v>2</v>
      </c>
      <c r="B57" s="420"/>
      <c r="C57" s="382" t="s">
        <v>46</v>
      </c>
      <c r="D57" s="382" t="s">
        <v>47</v>
      </c>
      <c r="E57" s="382" t="s">
        <v>107</v>
      </c>
      <c r="F57" s="421" t="s">
        <v>106</v>
      </c>
      <c r="G57" s="422"/>
      <c r="H57" s="422"/>
      <c r="I57" s="422"/>
      <c r="J57" s="422"/>
      <c r="K57" s="422"/>
      <c r="L57" s="422"/>
      <c r="M57" s="423"/>
      <c r="N57" s="67" t="s">
        <v>110</v>
      </c>
      <c r="O57" s="382" t="s">
        <v>46</v>
      </c>
      <c r="P57" s="421" t="s">
        <v>47</v>
      </c>
      <c r="Q57" s="424"/>
      <c r="R57" s="421" t="s">
        <v>38</v>
      </c>
      <c r="S57" s="422"/>
      <c r="T57" s="422"/>
      <c r="U57" s="424"/>
      <c r="V57" s="421" t="s">
        <v>48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35" t="s">
        <v>112</v>
      </c>
      <c r="B58" s="436"/>
      <c r="C58" s="384" t="s">
        <v>148</v>
      </c>
      <c r="D58" s="384" t="s">
        <v>155</v>
      </c>
      <c r="E58" s="394" t="s">
        <v>543</v>
      </c>
      <c r="F58" s="437" t="s">
        <v>416</v>
      </c>
      <c r="G58" s="438"/>
      <c r="H58" s="438"/>
      <c r="I58" s="438"/>
      <c r="J58" s="438"/>
      <c r="K58" s="438"/>
      <c r="L58" s="438"/>
      <c r="M58" s="439"/>
      <c r="N58" s="383" t="s">
        <v>130</v>
      </c>
      <c r="O58" s="390" t="s">
        <v>223</v>
      </c>
      <c r="P58" s="440" t="s">
        <v>288</v>
      </c>
      <c r="Q58" s="441"/>
      <c r="R58" s="440" t="s">
        <v>285</v>
      </c>
      <c r="S58" s="442"/>
      <c r="T58" s="442"/>
      <c r="U58" s="441"/>
      <c r="V58" s="437" t="s">
        <v>122</v>
      </c>
      <c r="W58" s="438"/>
      <c r="X58" s="438"/>
      <c r="Y58" s="438"/>
      <c r="Z58" s="438"/>
      <c r="AA58" s="438"/>
      <c r="AB58" s="438"/>
      <c r="AC58" s="438"/>
      <c r="AD58" s="439"/>
    </row>
    <row r="59" spans="1:32" ht="27" customHeight="1">
      <c r="A59" s="435" t="s">
        <v>130</v>
      </c>
      <c r="B59" s="436"/>
      <c r="C59" s="394" t="s">
        <v>191</v>
      </c>
      <c r="D59" s="394" t="s">
        <v>310</v>
      </c>
      <c r="E59" s="394" t="s">
        <v>540</v>
      </c>
      <c r="F59" s="437" t="s">
        <v>550</v>
      </c>
      <c r="G59" s="438"/>
      <c r="H59" s="438"/>
      <c r="I59" s="438"/>
      <c r="J59" s="438"/>
      <c r="K59" s="438"/>
      <c r="L59" s="438"/>
      <c r="M59" s="439"/>
      <c r="N59" s="383" t="s">
        <v>130</v>
      </c>
      <c r="O59" s="390" t="s">
        <v>554</v>
      </c>
      <c r="P59" s="440" t="s">
        <v>115</v>
      </c>
      <c r="Q59" s="441"/>
      <c r="R59" s="440" t="s">
        <v>553</v>
      </c>
      <c r="S59" s="442"/>
      <c r="T59" s="442"/>
      <c r="U59" s="441"/>
      <c r="V59" s="437" t="s">
        <v>122</v>
      </c>
      <c r="W59" s="438"/>
      <c r="X59" s="438"/>
      <c r="Y59" s="438"/>
      <c r="Z59" s="438"/>
      <c r="AA59" s="438"/>
      <c r="AB59" s="438"/>
      <c r="AC59" s="438"/>
      <c r="AD59" s="439"/>
    </row>
    <row r="60" spans="1:32" ht="27" customHeight="1">
      <c r="A60" s="435" t="s">
        <v>531</v>
      </c>
      <c r="B60" s="436"/>
      <c r="C60" s="384" t="s">
        <v>234</v>
      </c>
      <c r="D60" s="384" t="s">
        <v>532</v>
      </c>
      <c r="E60" s="384" t="s">
        <v>530</v>
      </c>
      <c r="F60" s="437" t="s">
        <v>551</v>
      </c>
      <c r="G60" s="438"/>
      <c r="H60" s="438"/>
      <c r="I60" s="438"/>
      <c r="J60" s="438"/>
      <c r="K60" s="438"/>
      <c r="L60" s="438"/>
      <c r="M60" s="439"/>
      <c r="N60" s="383" t="s">
        <v>130</v>
      </c>
      <c r="O60" s="390" t="s">
        <v>556</v>
      </c>
      <c r="P60" s="440" t="s">
        <v>557</v>
      </c>
      <c r="Q60" s="441"/>
      <c r="R60" s="440" t="s">
        <v>555</v>
      </c>
      <c r="S60" s="442"/>
      <c r="T60" s="442"/>
      <c r="U60" s="441"/>
      <c r="V60" s="437" t="s">
        <v>122</v>
      </c>
      <c r="W60" s="438"/>
      <c r="X60" s="438"/>
      <c r="Y60" s="438"/>
      <c r="Z60" s="438"/>
      <c r="AA60" s="438"/>
      <c r="AB60" s="438"/>
      <c r="AC60" s="438"/>
      <c r="AD60" s="439"/>
    </row>
    <row r="61" spans="1:32" ht="27" customHeight="1">
      <c r="A61" s="435" t="s">
        <v>112</v>
      </c>
      <c r="B61" s="436"/>
      <c r="C61" s="394" t="s">
        <v>326</v>
      </c>
      <c r="D61" s="394" t="s">
        <v>129</v>
      </c>
      <c r="E61" s="394" t="s">
        <v>324</v>
      </c>
      <c r="F61" s="437" t="s">
        <v>366</v>
      </c>
      <c r="G61" s="438"/>
      <c r="H61" s="438"/>
      <c r="I61" s="438"/>
      <c r="J61" s="438"/>
      <c r="K61" s="438"/>
      <c r="L61" s="438"/>
      <c r="M61" s="439"/>
      <c r="N61" s="383"/>
      <c r="O61" s="390"/>
      <c r="P61" s="440"/>
      <c r="Q61" s="441"/>
      <c r="R61" s="440"/>
      <c r="S61" s="442"/>
      <c r="T61" s="442"/>
      <c r="U61" s="441"/>
      <c r="V61" s="437"/>
      <c r="W61" s="438"/>
      <c r="X61" s="438"/>
      <c r="Y61" s="438"/>
      <c r="Z61" s="438"/>
      <c r="AA61" s="438"/>
      <c r="AB61" s="438"/>
      <c r="AC61" s="438"/>
      <c r="AD61" s="439"/>
    </row>
    <row r="62" spans="1:32" ht="27" customHeight="1">
      <c r="A62" s="435" t="s">
        <v>112</v>
      </c>
      <c r="B62" s="436"/>
      <c r="C62" s="394" t="s">
        <v>187</v>
      </c>
      <c r="D62" s="394" t="s">
        <v>115</v>
      </c>
      <c r="E62" s="394" t="s">
        <v>482</v>
      </c>
      <c r="F62" s="437" t="s">
        <v>182</v>
      </c>
      <c r="G62" s="438"/>
      <c r="H62" s="438"/>
      <c r="I62" s="438"/>
      <c r="J62" s="438"/>
      <c r="K62" s="438"/>
      <c r="L62" s="438"/>
      <c r="M62" s="439"/>
      <c r="N62" s="383"/>
      <c r="O62" s="390"/>
      <c r="P62" s="440"/>
      <c r="Q62" s="441"/>
      <c r="R62" s="440"/>
      <c r="S62" s="442"/>
      <c r="T62" s="442"/>
      <c r="U62" s="441"/>
      <c r="V62" s="437"/>
      <c r="W62" s="438"/>
      <c r="X62" s="438"/>
      <c r="Y62" s="438"/>
      <c r="Z62" s="438"/>
      <c r="AA62" s="438"/>
      <c r="AB62" s="438"/>
      <c r="AC62" s="438"/>
      <c r="AD62" s="439"/>
    </row>
    <row r="63" spans="1:32" ht="27" customHeight="1">
      <c r="A63" s="435"/>
      <c r="B63" s="436"/>
      <c r="C63" s="384"/>
      <c r="D63" s="384"/>
      <c r="E63" s="384"/>
      <c r="F63" s="437"/>
      <c r="G63" s="438"/>
      <c r="H63" s="438"/>
      <c r="I63" s="438"/>
      <c r="J63" s="438"/>
      <c r="K63" s="438"/>
      <c r="L63" s="438"/>
      <c r="M63" s="439"/>
      <c r="N63" s="383"/>
      <c r="O63" s="390"/>
      <c r="P63" s="440"/>
      <c r="Q63" s="441"/>
      <c r="R63" s="440"/>
      <c r="S63" s="442"/>
      <c r="T63" s="442"/>
      <c r="U63" s="441"/>
      <c r="V63" s="437"/>
      <c r="W63" s="438"/>
      <c r="X63" s="438"/>
      <c r="Y63" s="438"/>
      <c r="Z63" s="438"/>
      <c r="AA63" s="438"/>
      <c r="AB63" s="438"/>
      <c r="AC63" s="438"/>
      <c r="AD63" s="439"/>
    </row>
    <row r="64" spans="1:32" ht="27" customHeight="1">
      <c r="A64" s="435"/>
      <c r="B64" s="436"/>
      <c r="C64" s="384"/>
      <c r="D64" s="384"/>
      <c r="E64" s="384"/>
      <c r="F64" s="437"/>
      <c r="G64" s="438"/>
      <c r="H64" s="438"/>
      <c r="I64" s="438"/>
      <c r="J64" s="438"/>
      <c r="K64" s="438"/>
      <c r="L64" s="438"/>
      <c r="M64" s="439"/>
      <c r="N64" s="383"/>
      <c r="O64" s="390"/>
      <c r="P64" s="440"/>
      <c r="Q64" s="441"/>
      <c r="R64" s="440"/>
      <c r="S64" s="442"/>
      <c r="T64" s="442"/>
      <c r="U64" s="441"/>
      <c r="V64" s="437"/>
      <c r="W64" s="438"/>
      <c r="X64" s="438"/>
      <c r="Y64" s="438"/>
      <c r="Z64" s="438"/>
      <c r="AA64" s="438"/>
      <c r="AB64" s="438"/>
      <c r="AC64" s="438"/>
      <c r="AD64" s="439"/>
    </row>
    <row r="65" spans="1:32" ht="27" customHeight="1">
      <c r="A65" s="453"/>
      <c r="B65" s="454"/>
      <c r="C65" s="387"/>
      <c r="D65" s="387"/>
      <c r="E65" s="384"/>
      <c r="F65" s="437"/>
      <c r="G65" s="438"/>
      <c r="H65" s="438"/>
      <c r="I65" s="438"/>
      <c r="J65" s="438"/>
      <c r="K65" s="438"/>
      <c r="L65" s="438"/>
      <c r="M65" s="439"/>
      <c r="N65" s="383"/>
      <c r="O65" s="390"/>
      <c r="P65" s="440"/>
      <c r="Q65" s="441"/>
      <c r="R65" s="440"/>
      <c r="S65" s="442"/>
      <c r="T65" s="442"/>
      <c r="U65" s="441"/>
      <c r="V65" s="437"/>
      <c r="W65" s="438"/>
      <c r="X65" s="438"/>
      <c r="Y65" s="438"/>
      <c r="Z65" s="438"/>
      <c r="AA65" s="438"/>
      <c r="AB65" s="438"/>
      <c r="AC65" s="438"/>
      <c r="AD65" s="439"/>
    </row>
    <row r="66" spans="1:32" ht="27" customHeight="1">
      <c r="A66" s="453"/>
      <c r="B66" s="454"/>
      <c r="C66" s="387"/>
      <c r="D66" s="387"/>
      <c r="E66" s="384"/>
      <c r="F66" s="437"/>
      <c r="G66" s="438"/>
      <c r="H66" s="438"/>
      <c r="I66" s="438"/>
      <c r="J66" s="438"/>
      <c r="K66" s="438"/>
      <c r="L66" s="438"/>
      <c r="M66" s="439"/>
      <c r="N66" s="383"/>
      <c r="O66" s="390"/>
      <c r="P66" s="436"/>
      <c r="Q66" s="436"/>
      <c r="R66" s="436"/>
      <c r="S66" s="436"/>
      <c r="T66" s="436"/>
      <c r="U66" s="436"/>
      <c r="V66" s="437"/>
      <c r="W66" s="438"/>
      <c r="X66" s="438"/>
      <c r="Y66" s="438"/>
      <c r="Z66" s="438"/>
      <c r="AA66" s="438"/>
      <c r="AB66" s="438"/>
      <c r="AC66" s="438"/>
      <c r="AD66" s="439"/>
      <c r="AF66" s="84">
        <f>8*3000</f>
        <v>24000</v>
      </c>
    </row>
    <row r="67" spans="1:32" ht="27" customHeight="1" thickBot="1">
      <c r="A67" s="445"/>
      <c r="B67" s="446"/>
      <c r="C67" s="385"/>
      <c r="D67" s="386"/>
      <c r="E67" s="385"/>
      <c r="F67" s="447"/>
      <c r="G67" s="448"/>
      <c r="H67" s="448"/>
      <c r="I67" s="448"/>
      <c r="J67" s="448"/>
      <c r="K67" s="448"/>
      <c r="L67" s="448"/>
      <c r="M67" s="449"/>
      <c r="N67" s="111"/>
      <c r="O67" s="103"/>
      <c r="P67" s="450"/>
      <c r="Q67" s="450"/>
      <c r="R67" s="450"/>
      <c r="S67" s="450"/>
      <c r="T67" s="450"/>
      <c r="U67" s="450"/>
      <c r="V67" s="451"/>
      <c r="W67" s="451"/>
      <c r="X67" s="451"/>
      <c r="Y67" s="451"/>
      <c r="Z67" s="451"/>
      <c r="AA67" s="451"/>
      <c r="AB67" s="451"/>
      <c r="AC67" s="451"/>
      <c r="AD67" s="452"/>
      <c r="AF67" s="84">
        <f>16*3000</f>
        <v>48000</v>
      </c>
    </row>
    <row r="68" spans="1:32" ht="27.75" thickBot="1">
      <c r="A68" s="455" t="s">
        <v>558</v>
      </c>
      <c r="B68" s="455"/>
      <c r="C68" s="455"/>
      <c r="D68" s="455"/>
      <c r="E68" s="455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456" t="s">
        <v>111</v>
      </c>
      <c r="B69" s="457"/>
      <c r="C69" s="388" t="s">
        <v>2</v>
      </c>
      <c r="D69" s="388" t="s">
        <v>37</v>
      </c>
      <c r="E69" s="388" t="s">
        <v>3</v>
      </c>
      <c r="F69" s="457" t="s">
        <v>109</v>
      </c>
      <c r="G69" s="457"/>
      <c r="H69" s="457"/>
      <c r="I69" s="457"/>
      <c r="J69" s="457"/>
      <c r="K69" s="457" t="s">
        <v>39</v>
      </c>
      <c r="L69" s="457"/>
      <c r="M69" s="388" t="s">
        <v>40</v>
      </c>
      <c r="N69" s="457" t="s">
        <v>41</v>
      </c>
      <c r="O69" s="457"/>
      <c r="P69" s="458" t="s">
        <v>42</v>
      </c>
      <c r="Q69" s="459"/>
      <c r="R69" s="458" t="s">
        <v>43</v>
      </c>
      <c r="S69" s="460"/>
      <c r="T69" s="460"/>
      <c r="U69" s="460"/>
      <c r="V69" s="460"/>
      <c r="W69" s="460"/>
      <c r="X69" s="460"/>
      <c r="Y69" s="460"/>
      <c r="Z69" s="460"/>
      <c r="AA69" s="459"/>
      <c r="AB69" s="457" t="s">
        <v>44</v>
      </c>
      <c r="AC69" s="457"/>
      <c r="AD69" s="461"/>
      <c r="AF69" s="84">
        <f>SUM(AF66:AF68)</f>
        <v>96000</v>
      </c>
    </row>
    <row r="70" spans="1:32" ht="25.5" customHeight="1">
      <c r="A70" s="462">
        <v>1</v>
      </c>
      <c r="B70" s="463"/>
      <c r="C70" s="104" t="s">
        <v>509</v>
      </c>
      <c r="D70" s="392"/>
      <c r="E70" s="389" t="s">
        <v>155</v>
      </c>
      <c r="F70" s="464" t="s">
        <v>508</v>
      </c>
      <c r="G70" s="465"/>
      <c r="H70" s="465"/>
      <c r="I70" s="465"/>
      <c r="J70" s="465"/>
      <c r="K70" s="465" t="s">
        <v>153</v>
      </c>
      <c r="L70" s="465"/>
      <c r="M70" s="51" t="s">
        <v>559</v>
      </c>
      <c r="N70" s="466" t="s">
        <v>148</v>
      </c>
      <c r="O70" s="466"/>
      <c r="P70" s="467">
        <v>30</v>
      </c>
      <c r="Q70" s="467"/>
      <c r="R70" s="443" t="s">
        <v>560</v>
      </c>
      <c r="S70" s="443"/>
      <c r="T70" s="443"/>
      <c r="U70" s="443"/>
      <c r="V70" s="443"/>
      <c r="W70" s="443"/>
      <c r="X70" s="443"/>
      <c r="Y70" s="443"/>
      <c r="Z70" s="443"/>
      <c r="AA70" s="443"/>
      <c r="AB70" s="465"/>
      <c r="AC70" s="465"/>
      <c r="AD70" s="468"/>
      <c r="AF70" s="50"/>
    </row>
    <row r="71" spans="1:32" ht="25.5" customHeight="1">
      <c r="A71" s="462">
        <v>2</v>
      </c>
      <c r="B71" s="463"/>
      <c r="C71" s="104" t="s">
        <v>562</v>
      </c>
      <c r="D71" s="392"/>
      <c r="E71" s="389" t="s">
        <v>563</v>
      </c>
      <c r="F71" s="464" t="s">
        <v>561</v>
      </c>
      <c r="G71" s="465"/>
      <c r="H71" s="465"/>
      <c r="I71" s="465"/>
      <c r="J71" s="465"/>
      <c r="K71" s="465" t="s">
        <v>564</v>
      </c>
      <c r="L71" s="465"/>
      <c r="M71" s="51" t="s">
        <v>565</v>
      </c>
      <c r="N71" s="466" t="s">
        <v>566</v>
      </c>
      <c r="O71" s="466"/>
      <c r="P71" s="467">
        <v>100</v>
      </c>
      <c r="Q71" s="467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65"/>
      <c r="AC71" s="465"/>
      <c r="AD71" s="468"/>
      <c r="AF71" s="50"/>
    </row>
    <row r="72" spans="1:32" ht="25.5" customHeight="1">
      <c r="A72" s="462">
        <v>3</v>
      </c>
      <c r="B72" s="463"/>
      <c r="C72" s="104" t="s">
        <v>568</v>
      </c>
      <c r="D72" s="392"/>
      <c r="E72" s="389"/>
      <c r="F72" s="464" t="s">
        <v>567</v>
      </c>
      <c r="G72" s="465"/>
      <c r="H72" s="465"/>
      <c r="I72" s="465"/>
      <c r="J72" s="465"/>
      <c r="K72" s="465" t="s">
        <v>569</v>
      </c>
      <c r="L72" s="465"/>
      <c r="M72" s="51" t="s">
        <v>565</v>
      </c>
      <c r="N72" s="466" t="s">
        <v>570</v>
      </c>
      <c r="O72" s="466"/>
      <c r="P72" s="467">
        <v>2000</v>
      </c>
      <c r="Q72" s="467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65"/>
      <c r="AC72" s="465"/>
      <c r="AD72" s="468"/>
      <c r="AF72" s="50"/>
    </row>
    <row r="73" spans="1:32" ht="25.5" customHeight="1">
      <c r="A73" s="462">
        <v>4</v>
      </c>
      <c r="B73" s="463"/>
      <c r="C73" s="104"/>
      <c r="D73" s="392"/>
      <c r="E73" s="389"/>
      <c r="F73" s="469"/>
      <c r="G73" s="470"/>
      <c r="H73" s="470"/>
      <c r="I73" s="470"/>
      <c r="J73" s="471"/>
      <c r="K73" s="465"/>
      <c r="L73" s="465"/>
      <c r="M73" s="51"/>
      <c r="N73" s="466"/>
      <c r="O73" s="466"/>
      <c r="P73" s="467"/>
      <c r="Q73" s="467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65"/>
      <c r="AC73" s="465"/>
      <c r="AD73" s="468"/>
      <c r="AF73" s="50"/>
    </row>
    <row r="74" spans="1:32" ht="25.5" customHeight="1">
      <c r="A74" s="462">
        <v>5</v>
      </c>
      <c r="B74" s="463"/>
      <c r="C74" s="104"/>
      <c r="D74" s="392"/>
      <c r="E74" s="389"/>
      <c r="F74" s="469"/>
      <c r="G74" s="470"/>
      <c r="H74" s="470"/>
      <c r="I74" s="470"/>
      <c r="J74" s="471"/>
      <c r="K74" s="465"/>
      <c r="L74" s="465"/>
      <c r="M74" s="51"/>
      <c r="N74" s="466"/>
      <c r="O74" s="466"/>
      <c r="P74" s="467"/>
      <c r="Q74" s="467"/>
      <c r="R74" s="443"/>
      <c r="S74" s="443"/>
      <c r="T74" s="443"/>
      <c r="U74" s="443"/>
      <c r="V74" s="443"/>
      <c r="W74" s="443"/>
      <c r="X74" s="443"/>
      <c r="Y74" s="443"/>
      <c r="Z74" s="443"/>
      <c r="AA74" s="443"/>
      <c r="AB74" s="465"/>
      <c r="AC74" s="465"/>
      <c r="AD74" s="468"/>
      <c r="AF74" s="50"/>
    </row>
    <row r="75" spans="1:32" ht="25.5" customHeight="1">
      <c r="A75" s="462">
        <v>6</v>
      </c>
      <c r="B75" s="463"/>
      <c r="C75" s="104"/>
      <c r="D75" s="392"/>
      <c r="E75" s="389"/>
      <c r="F75" s="469"/>
      <c r="G75" s="470"/>
      <c r="H75" s="470"/>
      <c r="I75" s="470"/>
      <c r="J75" s="471"/>
      <c r="K75" s="465"/>
      <c r="L75" s="465"/>
      <c r="M75" s="51"/>
      <c r="N75" s="466"/>
      <c r="O75" s="466"/>
      <c r="P75" s="467"/>
      <c r="Q75" s="467"/>
      <c r="R75" s="443"/>
      <c r="S75" s="443"/>
      <c r="T75" s="443"/>
      <c r="U75" s="443"/>
      <c r="V75" s="443"/>
      <c r="W75" s="443"/>
      <c r="X75" s="443"/>
      <c r="Y75" s="443"/>
      <c r="Z75" s="443"/>
      <c r="AA75" s="443"/>
      <c r="AB75" s="465"/>
      <c r="AC75" s="465"/>
      <c r="AD75" s="468"/>
      <c r="AF75" s="50"/>
    </row>
    <row r="76" spans="1:32" ht="25.5" customHeight="1">
      <c r="A76" s="462">
        <v>7</v>
      </c>
      <c r="B76" s="463"/>
      <c r="C76" s="104"/>
      <c r="D76" s="392"/>
      <c r="E76" s="389"/>
      <c r="F76" s="469"/>
      <c r="G76" s="470"/>
      <c r="H76" s="470"/>
      <c r="I76" s="470"/>
      <c r="J76" s="471"/>
      <c r="K76" s="465"/>
      <c r="L76" s="465"/>
      <c r="M76" s="51"/>
      <c r="N76" s="466"/>
      <c r="O76" s="466"/>
      <c r="P76" s="467"/>
      <c r="Q76" s="467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65"/>
      <c r="AC76" s="465"/>
      <c r="AD76" s="468"/>
      <c r="AF76" s="50"/>
    </row>
    <row r="77" spans="1:32" ht="25.5" customHeight="1">
      <c r="A77" s="462">
        <v>8</v>
      </c>
      <c r="B77" s="463"/>
      <c r="C77" s="104"/>
      <c r="D77" s="392"/>
      <c r="E77" s="389"/>
      <c r="F77" s="464"/>
      <c r="G77" s="465"/>
      <c r="H77" s="465"/>
      <c r="I77" s="465"/>
      <c r="J77" s="465"/>
      <c r="K77" s="465"/>
      <c r="L77" s="465"/>
      <c r="M77" s="51"/>
      <c r="N77" s="466"/>
      <c r="O77" s="466"/>
      <c r="P77" s="467"/>
      <c r="Q77" s="467"/>
      <c r="R77" s="443"/>
      <c r="S77" s="443"/>
      <c r="T77" s="443"/>
      <c r="U77" s="443"/>
      <c r="V77" s="443"/>
      <c r="W77" s="443"/>
      <c r="X77" s="443"/>
      <c r="Y77" s="443"/>
      <c r="Z77" s="443"/>
      <c r="AA77" s="443"/>
      <c r="AB77" s="465"/>
      <c r="AC77" s="465"/>
      <c r="AD77" s="468"/>
      <c r="AF77" s="50"/>
    </row>
    <row r="78" spans="1:32" ht="25.5" customHeight="1">
      <c r="A78" s="462">
        <v>9</v>
      </c>
      <c r="B78" s="463"/>
      <c r="C78" s="104"/>
      <c r="D78" s="392"/>
      <c r="E78" s="389"/>
      <c r="F78" s="464"/>
      <c r="G78" s="465"/>
      <c r="H78" s="465"/>
      <c r="I78" s="465"/>
      <c r="J78" s="465"/>
      <c r="K78" s="465"/>
      <c r="L78" s="465"/>
      <c r="M78" s="51"/>
      <c r="N78" s="466"/>
      <c r="O78" s="466"/>
      <c r="P78" s="467"/>
      <c r="Q78" s="467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65"/>
      <c r="AC78" s="465"/>
      <c r="AD78" s="468"/>
      <c r="AF78" s="50"/>
    </row>
    <row r="79" spans="1:32" ht="25.5" customHeight="1">
      <c r="A79" s="462">
        <v>10</v>
      </c>
      <c r="B79" s="463"/>
      <c r="C79" s="104"/>
      <c r="D79" s="392"/>
      <c r="E79" s="389"/>
      <c r="F79" s="464"/>
      <c r="G79" s="465"/>
      <c r="H79" s="465"/>
      <c r="I79" s="465"/>
      <c r="J79" s="465"/>
      <c r="K79" s="465"/>
      <c r="L79" s="465"/>
      <c r="M79" s="51"/>
      <c r="N79" s="466"/>
      <c r="O79" s="466"/>
      <c r="P79" s="467"/>
      <c r="Q79" s="467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65"/>
      <c r="AC79" s="465"/>
      <c r="AD79" s="468"/>
      <c r="AF79" s="50"/>
    </row>
    <row r="80" spans="1:32" ht="26.25" customHeight="1" thickBot="1">
      <c r="A80" s="472" t="s">
        <v>571</v>
      </c>
      <c r="B80" s="472"/>
      <c r="C80" s="472"/>
      <c r="D80" s="472"/>
      <c r="E80" s="472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73" t="s">
        <v>111</v>
      </c>
      <c r="B81" s="474"/>
      <c r="C81" s="391" t="s">
        <v>2</v>
      </c>
      <c r="D81" s="391" t="s">
        <v>37</v>
      </c>
      <c r="E81" s="391" t="s">
        <v>120</v>
      </c>
      <c r="F81" s="475" t="s">
        <v>38</v>
      </c>
      <c r="G81" s="475"/>
      <c r="H81" s="475"/>
      <c r="I81" s="475"/>
      <c r="J81" s="475"/>
      <c r="K81" s="476" t="s">
        <v>58</v>
      </c>
      <c r="L81" s="477"/>
      <c r="M81" s="477"/>
      <c r="N81" s="477"/>
      <c r="O81" s="477"/>
      <c r="P81" s="477"/>
      <c r="Q81" s="477"/>
      <c r="R81" s="477"/>
      <c r="S81" s="478"/>
      <c r="T81" s="475" t="s">
        <v>49</v>
      </c>
      <c r="U81" s="475"/>
      <c r="V81" s="476" t="s">
        <v>50</v>
      </c>
      <c r="W81" s="478"/>
      <c r="X81" s="477" t="s">
        <v>51</v>
      </c>
      <c r="Y81" s="477"/>
      <c r="Z81" s="477"/>
      <c r="AA81" s="477"/>
      <c r="AB81" s="477"/>
      <c r="AC81" s="477"/>
      <c r="AD81" s="479"/>
      <c r="AF81" s="50"/>
    </row>
    <row r="82" spans="1:32" ht="33.75" customHeight="1">
      <c r="A82" s="488">
        <v>1</v>
      </c>
      <c r="B82" s="489"/>
      <c r="C82" s="393"/>
      <c r="D82" s="393"/>
      <c r="E82" s="65"/>
      <c r="F82" s="490"/>
      <c r="G82" s="491"/>
      <c r="H82" s="491"/>
      <c r="I82" s="491"/>
      <c r="J82" s="492"/>
      <c r="K82" s="493"/>
      <c r="L82" s="494"/>
      <c r="M82" s="494"/>
      <c r="N82" s="494"/>
      <c r="O82" s="494"/>
      <c r="P82" s="494"/>
      <c r="Q82" s="494"/>
      <c r="R82" s="494"/>
      <c r="S82" s="495"/>
      <c r="T82" s="496"/>
      <c r="U82" s="497"/>
      <c r="V82" s="498"/>
      <c r="W82" s="498"/>
      <c r="X82" s="499"/>
      <c r="Y82" s="499"/>
      <c r="Z82" s="499"/>
      <c r="AA82" s="499"/>
      <c r="AB82" s="499"/>
      <c r="AC82" s="499"/>
      <c r="AD82" s="500"/>
      <c r="AF82" s="50"/>
    </row>
    <row r="83" spans="1:32" ht="30" customHeight="1">
      <c r="A83" s="480">
        <f>A82+1</f>
        <v>2</v>
      </c>
      <c r="B83" s="481"/>
      <c r="C83" s="392"/>
      <c r="D83" s="392"/>
      <c r="E83" s="32"/>
      <c r="F83" s="481"/>
      <c r="G83" s="481"/>
      <c r="H83" s="481"/>
      <c r="I83" s="481"/>
      <c r="J83" s="481"/>
      <c r="K83" s="482"/>
      <c r="L83" s="483"/>
      <c r="M83" s="483"/>
      <c r="N83" s="483"/>
      <c r="O83" s="483"/>
      <c r="P83" s="483"/>
      <c r="Q83" s="483"/>
      <c r="R83" s="483"/>
      <c r="S83" s="484"/>
      <c r="T83" s="485"/>
      <c r="U83" s="485"/>
      <c r="V83" s="485"/>
      <c r="W83" s="485"/>
      <c r="X83" s="486"/>
      <c r="Y83" s="486"/>
      <c r="Z83" s="486"/>
      <c r="AA83" s="486"/>
      <c r="AB83" s="486"/>
      <c r="AC83" s="486"/>
      <c r="AD83" s="487"/>
      <c r="AF83" s="50"/>
    </row>
    <row r="84" spans="1:32" ht="30" customHeight="1">
      <c r="A84" s="480">
        <f t="shared" ref="A84:A88" si="9">A83+1</f>
        <v>3</v>
      </c>
      <c r="B84" s="481"/>
      <c r="C84" s="392"/>
      <c r="D84" s="392"/>
      <c r="E84" s="32"/>
      <c r="F84" s="481"/>
      <c r="G84" s="481"/>
      <c r="H84" s="481"/>
      <c r="I84" s="481"/>
      <c r="J84" s="481"/>
      <c r="K84" s="482"/>
      <c r="L84" s="483"/>
      <c r="M84" s="483"/>
      <c r="N84" s="483"/>
      <c r="O84" s="483"/>
      <c r="P84" s="483"/>
      <c r="Q84" s="483"/>
      <c r="R84" s="483"/>
      <c r="S84" s="484"/>
      <c r="T84" s="485"/>
      <c r="U84" s="485"/>
      <c r="V84" s="485"/>
      <c r="W84" s="485"/>
      <c r="X84" s="486"/>
      <c r="Y84" s="486"/>
      <c r="Z84" s="486"/>
      <c r="AA84" s="486"/>
      <c r="AB84" s="486"/>
      <c r="AC84" s="486"/>
      <c r="AD84" s="487"/>
      <c r="AF84" s="50"/>
    </row>
    <row r="85" spans="1:32" ht="30" customHeight="1">
      <c r="A85" s="480">
        <f t="shared" si="9"/>
        <v>4</v>
      </c>
      <c r="B85" s="481"/>
      <c r="C85" s="392"/>
      <c r="D85" s="392"/>
      <c r="E85" s="32"/>
      <c r="F85" s="481"/>
      <c r="G85" s="481"/>
      <c r="H85" s="481"/>
      <c r="I85" s="481"/>
      <c r="J85" s="481"/>
      <c r="K85" s="482"/>
      <c r="L85" s="483"/>
      <c r="M85" s="483"/>
      <c r="N85" s="483"/>
      <c r="O85" s="483"/>
      <c r="P85" s="483"/>
      <c r="Q85" s="483"/>
      <c r="R85" s="483"/>
      <c r="S85" s="484"/>
      <c r="T85" s="485"/>
      <c r="U85" s="485"/>
      <c r="V85" s="485"/>
      <c r="W85" s="485"/>
      <c r="X85" s="486"/>
      <c r="Y85" s="486"/>
      <c r="Z85" s="486"/>
      <c r="AA85" s="486"/>
      <c r="AB85" s="486"/>
      <c r="AC85" s="486"/>
      <c r="AD85" s="487"/>
      <c r="AF85" s="50"/>
    </row>
    <row r="86" spans="1:32" ht="30" customHeight="1">
      <c r="A86" s="480">
        <f t="shared" si="9"/>
        <v>5</v>
      </c>
      <c r="B86" s="481"/>
      <c r="C86" s="392"/>
      <c r="D86" s="392"/>
      <c r="E86" s="32"/>
      <c r="F86" s="481"/>
      <c r="G86" s="481"/>
      <c r="H86" s="481"/>
      <c r="I86" s="481"/>
      <c r="J86" s="481"/>
      <c r="K86" s="482"/>
      <c r="L86" s="483"/>
      <c r="M86" s="483"/>
      <c r="N86" s="483"/>
      <c r="O86" s="483"/>
      <c r="P86" s="483"/>
      <c r="Q86" s="483"/>
      <c r="R86" s="483"/>
      <c r="S86" s="484"/>
      <c r="T86" s="485"/>
      <c r="U86" s="485"/>
      <c r="V86" s="485"/>
      <c r="W86" s="485"/>
      <c r="X86" s="486"/>
      <c r="Y86" s="486"/>
      <c r="Z86" s="486"/>
      <c r="AA86" s="486"/>
      <c r="AB86" s="486"/>
      <c r="AC86" s="486"/>
      <c r="AD86" s="487"/>
      <c r="AF86" s="50"/>
    </row>
    <row r="87" spans="1:32" ht="30" customHeight="1">
      <c r="A87" s="480">
        <f t="shared" si="9"/>
        <v>6</v>
      </c>
      <c r="B87" s="481"/>
      <c r="C87" s="392"/>
      <c r="D87" s="392"/>
      <c r="E87" s="32"/>
      <c r="F87" s="481"/>
      <c r="G87" s="481"/>
      <c r="H87" s="481"/>
      <c r="I87" s="481"/>
      <c r="J87" s="481"/>
      <c r="K87" s="482"/>
      <c r="L87" s="483"/>
      <c r="M87" s="483"/>
      <c r="N87" s="483"/>
      <c r="O87" s="483"/>
      <c r="P87" s="483"/>
      <c r="Q87" s="483"/>
      <c r="R87" s="483"/>
      <c r="S87" s="484"/>
      <c r="T87" s="485"/>
      <c r="U87" s="485"/>
      <c r="V87" s="485"/>
      <c r="W87" s="485"/>
      <c r="X87" s="486"/>
      <c r="Y87" s="486"/>
      <c r="Z87" s="486"/>
      <c r="AA87" s="486"/>
      <c r="AB87" s="486"/>
      <c r="AC87" s="486"/>
      <c r="AD87" s="487"/>
      <c r="AF87" s="50"/>
    </row>
    <row r="88" spans="1:32" ht="30" customHeight="1">
      <c r="A88" s="480">
        <f t="shared" si="9"/>
        <v>7</v>
      </c>
      <c r="B88" s="481"/>
      <c r="C88" s="392"/>
      <c r="D88" s="392"/>
      <c r="E88" s="32"/>
      <c r="F88" s="481"/>
      <c r="G88" s="481"/>
      <c r="H88" s="481"/>
      <c r="I88" s="481"/>
      <c r="J88" s="481"/>
      <c r="K88" s="482"/>
      <c r="L88" s="483"/>
      <c r="M88" s="483"/>
      <c r="N88" s="483"/>
      <c r="O88" s="483"/>
      <c r="P88" s="483"/>
      <c r="Q88" s="483"/>
      <c r="R88" s="483"/>
      <c r="S88" s="484"/>
      <c r="T88" s="485"/>
      <c r="U88" s="485"/>
      <c r="V88" s="485"/>
      <c r="W88" s="485"/>
      <c r="X88" s="486"/>
      <c r="Y88" s="486"/>
      <c r="Z88" s="486"/>
      <c r="AA88" s="486"/>
      <c r="AB88" s="486"/>
      <c r="AC88" s="486"/>
      <c r="AD88" s="487"/>
      <c r="AF88" s="50"/>
    </row>
    <row r="89" spans="1:32" ht="36" thickBot="1">
      <c r="A89" s="472" t="s">
        <v>572</v>
      </c>
      <c r="B89" s="472"/>
      <c r="C89" s="472"/>
      <c r="D89" s="472"/>
      <c r="E89" s="472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01" t="s">
        <v>111</v>
      </c>
      <c r="B90" s="475"/>
      <c r="C90" s="502" t="s">
        <v>52</v>
      </c>
      <c r="D90" s="502"/>
      <c r="E90" s="502" t="s">
        <v>53</v>
      </c>
      <c r="F90" s="502"/>
      <c r="G90" s="502"/>
      <c r="H90" s="502"/>
      <c r="I90" s="502"/>
      <c r="J90" s="502"/>
      <c r="K90" s="502" t="s">
        <v>54</v>
      </c>
      <c r="L90" s="502"/>
      <c r="M90" s="502"/>
      <c r="N90" s="502"/>
      <c r="O90" s="502"/>
      <c r="P90" s="502"/>
      <c r="Q90" s="502"/>
      <c r="R90" s="502"/>
      <c r="S90" s="502"/>
      <c r="T90" s="502" t="s">
        <v>55</v>
      </c>
      <c r="U90" s="502"/>
      <c r="V90" s="502" t="s">
        <v>56</v>
      </c>
      <c r="W90" s="502"/>
      <c r="X90" s="502"/>
      <c r="Y90" s="502" t="s">
        <v>51</v>
      </c>
      <c r="Z90" s="502"/>
      <c r="AA90" s="502"/>
      <c r="AB90" s="502"/>
      <c r="AC90" s="502"/>
      <c r="AD90" s="503"/>
      <c r="AF90" s="50"/>
    </row>
    <row r="91" spans="1:32" ht="30.75" customHeight="1">
      <c r="A91" s="488">
        <v>1</v>
      </c>
      <c r="B91" s="489"/>
      <c r="C91" s="504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5"/>
      <c r="W91" s="505"/>
      <c r="X91" s="505"/>
      <c r="Y91" s="506"/>
      <c r="Z91" s="506"/>
      <c r="AA91" s="506"/>
      <c r="AB91" s="506"/>
      <c r="AC91" s="506"/>
      <c r="AD91" s="507"/>
      <c r="AF91" s="50"/>
    </row>
    <row r="92" spans="1:32" ht="30.75" customHeight="1">
      <c r="A92" s="480">
        <v>2</v>
      </c>
      <c r="B92" s="481"/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6"/>
      <c r="S92" s="516"/>
      <c r="T92" s="517"/>
      <c r="U92" s="517"/>
      <c r="V92" s="518"/>
      <c r="W92" s="518"/>
      <c r="X92" s="518"/>
      <c r="Y92" s="508"/>
      <c r="Z92" s="508"/>
      <c r="AA92" s="508"/>
      <c r="AB92" s="508"/>
      <c r="AC92" s="508"/>
      <c r="AD92" s="509"/>
      <c r="AF92" s="50"/>
    </row>
    <row r="93" spans="1:32" ht="30.75" customHeight="1" thickBot="1">
      <c r="A93" s="510">
        <v>3</v>
      </c>
      <c r="B93" s="511"/>
      <c r="C93" s="512"/>
      <c r="D93" s="512"/>
      <c r="E93" s="512"/>
      <c r="F93" s="512"/>
      <c r="G93" s="512"/>
      <c r="H93" s="512"/>
      <c r="I93" s="512"/>
      <c r="J93" s="512"/>
      <c r="K93" s="512"/>
      <c r="L93" s="512"/>
      <c r="M93" s="512"/>
      <c r="N93" s="512"/>
      <c r="O93" s="512"/>
      <c r="P93" s="512"/>
      <c r="Q93" s="512"/>
      <c r="R93" s="512"/>
      <c r="S93" s="512"/>
      <c r="T93" s="512"/>
      <c r="U93" s="512"/>
      <c r="V93" s="513"/>
      <c r="W93" s="513"/>
      <c r="X93" s="513"/>
      <c r="Y93" s="514"/>
      <c r="Z93" s="514"/>
      <c r="AA93" s="514"/>
      <c r="AB93" s="514"/>
      <c r="AC93" s="514"/>
      <c r="AD93" s="515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6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12" sqref="AI12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19" t="s">
        <v>179</v>
      </c>
      <c r="B1" s="519"/>
      <c r="C1" s="519"/>
      <c r="D1" s="519"/>
      <c r="E1" s="519"/>
      <c r="F1" s="519"/>
      <c r="G1" s="519"/>
      <c r="H1" s="519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>
        <f>'01'!AD6</f>
        <v>0.625</v>
      </c>
      <c r="C3" s="114">
        <f>'02'!AD6+'02'!AD7</f>
        <v>0.79166666666666663</v>
      </c>
      <c r="D3" s="115"/>
      <c r="E3" s="115"/>
      <c r="F3" s="115">
        <f>'05'!AD6</f>
        <v>0.5</v>
      </c>
      <c r="G3" s="115">
        <f>'06'!AD6</f>
        <v>0.16666666666666666</v>
      </c>
      <c r="H3" s="115">
        <f>'07'!AD6</f>
        <v>0</v>
      </c>
      <c r="I3" s="115">
        <f>'08'!AD6</f>
        <v>0</v>
      </c>
      <c r="J3" s="115">
        <f>'09'!AD6+'09'!AD7</f>
        <v>0.83333333333333326</v>
      </c>
      <c r="K3" s="115"/>
      <c r="L3" s="115"/>
      <c r="M3" s="115">
        <f>'12'!AD6</f>
        <v>0.375</v>
      </c>
      <c r="N3" s="116">
        <f>'13'!AD6</f>
        <v>0</v>
      </c>
      <c r="O3" s="115">
        <f>'14'!AD6</f>
        <v>0.79166666666666663</v>
      </c>
      <c r="P3" s="115">
        <f>'15'!AD6</f>
        <v>0.25</v>
      </c>
      <c r="Q3" s="115">
        <f>'16'!AD6</f>
        <v>0.83333333333333337</v>
      </c>
      <c r="R3" s="115"/>
      <c r="S3" s="115"/>
      <c r="T3" s="115">
        <f>'19'!AD6</f>
        <v>0.91666666666666663</v>
      </c>
      <c r="U3" s="115">
        <f>'20'!AD6</f>
        <v>0.83333333333333337</v>
      </c>
      <c r="V3" s="115">
        <f>'21'!AD6</f>
        <v>0.75</v>
      </c>
      <c r="W3" s="116">
        <f>'22'!AD6</f>
        <v>0.83333333333333337</v>
      </c>
      <c r="X3" s="115">
        <f>'23'!AD6</f>
        <v>1</v>
      </c>
      <c r="Y3" s="115"/>
      <c r="Z3" s="115"/>
      <c r="AA3" s="115">
        <f>'26'!AD6</f>
        <v>0.625</v>
      </c>
      <c r="AB3" s="115">
        <f>'27'!AD6</f>
        <v>0.95833333333333337</v>
      </c>
      <c r="AC3" s="115">
        <f>'28'!AD6</f>
        <v>0.5</v>
      </c>
      <c r="AD3" s="115">
        <f>'29'!AD6+'29'!AD7</f>
        <v>0.75</v>
      </c>
      <c r="AE3" s="115">
        <f>'30'!AD6</f>
        <v>1</v>
      </c>
      <c r="AF3" s="117"/>
      <c r="AG3" s="118">
        <f>SUM(B3:AF3)/31</f>
        <v>0.43010752688172044</v>
      </c>
    </row>
    <row r="4" spans="1:33" ht="21.75" customHeight="1">
      <c r="A4" s="101" t="s">
        <v>61</v>
      </c>
      <c r="B4" s="98">
        <f>'01'!AD7+'01'!AD8</f>
        <v>0.66666666666666663</v>
      </c>
      <c r="C4" s="98">
        <f>'02'!AD8</f>
        <v>0.95833333333333337</v>
      </c>
      <c r="D4" s="77"/>
      <c r="E4" s="77"/>
      <c r="F4" s="77">
        <f>'05'!AD7</f>
        <v>1</v>
      </c>
      <c r="G4" s="119">
        <f>'06'!AD7</f>
        <v>1</v>
      </c>
      <c r="H4" s="77">
        <f>'07'!AD7</f>
        <v>1</v>
      </c>
      <c r="I4" s="77">
        <f>'08'!AD7</f>
        <v>1</v>
      </c>
      <c r="J4" s="77">
        <f>'09'!AD8</f>
        <v>0</v>
      </c>
      <c r="K4" s="77"/>
      <c r="L4" s="77"/>
      <c r="M4" s="77">
        <f>'12'!AD7</f>
        <v>0</v>
      </c>
      <c r="N4" s="77">
        <f>'13'!AD7</f>
        <v>0.54166666666666663</v>
      </c>
      <c r="O4" s="77">
        <f>'14'!AD7</f>
        <v>0.95833333333333337</v>
      </c>
      <c r="P4" s="77">
        <f>'15'!AD7+'15'!AD8</f>
        <v>0.5</v>
      </c>
      <c r="Q4" s="77">
        <f>'16'!AD7</f>
        <v>1</v>
      </c>
      <c r="R4" s="77"/>
      <c r="S4" s="77"/>
      <c r="T4" s="77">
        <f>'19'!AD7</f>
        <v>0.79166666666666663</v>
      </c>
      <c r="U4" s="77">
        <f>'20'!AD7</f>
        <v>0.5</v>
      </c>
      <c r="V4" s="77">
        <f>'21'!AD7</f>
        <v>0.875</v>
      </c>
      <c r="W4" s="77">
        <f>'22'!AD7</f>
        <v>1</v>
      </c>
      <c r="X4" s="77">
        <f>'23'!AD7+'23'!AD8</f>
        <v>0.95833333333333337</v>
      </c>
      <c r="Y4" s="77"/>
      <c r="Z4" s="77"/>
      <c r="AA4" s="77">
        <f>'26'!AD7</f>
        <v>0</v>
      </c>
      <c r="AB4" s="77">
        <f>'27'!AD7</f>
        <v>0</v>
      </c>
      <c r="AC4" s="77">
        <f>'28'!AD7</f>
        <v>0</v>
      </c>
      <c r="AD4" s="77">
        <f>'29'!AD8</f>
        <v>0.95833333333333337</v>
      </c>
      <c r="AE4" s="77">
        <f>'30'!AD7</f>
        <v>0.54462953754351073</v>
      </c>
      <c r="AF4" s="78"/>
      <c r="AG4" s="79">
        <f t="shared" ref="AG4:AG25" si="0">SUM(B4:AF4)/31</f>
        <v>0.45977299583473691</v>
      </c>
    </row>
    <row r="5" spans="1:33" ht="21.75" customHeight="1">
      <c r="A5" s="101" t="s">
        <v>62</v>
      </c>
      <c r="B5" s="98">
        <f>'01'!AD9</f>
        <v>0</v>
      </c>
      <c r="C5" s="98">
        <f>'02'!AD9</f>
        <v>0.875</v>
      </c>
      <c r="D5" s="77"/>
      <c r="E5" s="77"/>
      <c r="F5" s="77">
        <f>'05'!AD8</f>
        <v>0.79166666666666663</v>
      </c>
      <c r="G5" s="77">
        <f>'06'!AD8+'06'!AD9</f>
        <v>0.875</v>
      </c>
      <c r="H5" s="77">
        <f>'07'!AD8</f>
        <v>0.91666666666666663</v>
      </c>
      <c r="I5" s="77">
        <f>'08'!AD8</f>
        <v>0.70833333333333337</v>
      </c>
      <c r="J5" s="77">
        <f>'09'!AD9</f>
        <v>1</v>
      </c>
      <c r="K5" s="77"/>
      <c r="L5" s="77"/>
      <c r="M5" s="77">
        <f>'12'!AD8</f>
        <v>0.91666666666666663</v>
      </c>
      <c r="N5" s="77">
        <f>'13'!AD8</f>
        <v>0.625</v>
      </c>
      <c r="O5" s="77">
        <f>'14'!AD8</f>
        <v>0.875</v>
      </c>
      <c r="P5" s="77">
        <f>'15'!AD9</f>
        <v>1</v>
      </c>
      <c r="Q5" s="77">
        <f>'16'!AD8</f>
        <v>0.95833333333333337</v>
      </c>
      <c r="R5" s="77"/>
      <c r="S5" s="77"/>
      <c r="T5" s="77">
        <f>'19'!AD8+'19'!AD9</f>
        <v>0.25</v>
      </c>
      <c r="U5" s="77">
        <f>'20'!AD8</f>
        <v>1</v>
      </c>
      <c r="V5" s="77">
        <f>'21'!AD8</f>
        <v>0</v>
      </c>
      <c r="W5" s="119">
        <f>'22'!AD8+'22'!AD9</f>
        <v>0.25</v>
      </c>
      <c r="X5" s="77">
        <f>'23'!AD9</f>
        <v>0</v>
      </c>
      <c r="Y5" s="77"/>
      <c r="Z5" s="77"/>
      <c r="AA5" s="77">
        <f>'26'!AD8</f>
        <v>0</v>
      </c>
      <c r="AB5" s="77">
        <f>'27'!AD8</f>
        <v>0.20833333333333334</v>
      </c>
      <c r="AC5" s="77">
        <f>'28'!AD8+'28'!AD9</f>
        <v>0.41666666666666669</v>
      </c>
      <c r="AD5" s="77">
        <f>'29'!AD9</f>
        <v>0.75</v>
      </c>
      <c r="AE5" s="77">
        <f>'30'!AD8</f>
        <v>0.83333333333333337</v>
      </c>
      <c r="AF5" s="78"/>
      <c r="AG5" s="79">
        <f t="shared" si="0"/>
        <v>0.42741935483870969</v>
      </c>
    </row>
    <row r="6" spans="1:33" ht="21.75" customHeight="1">
      <c r="A6" s="101" t="s">
        <v>63</v>
      </c>
      <c r="B6" s="98">
        <f>'01'!AD10</f>
        <v>0</v>
      </c>
      <c r="C6" s="98">
        <f>'02'!AD10</f>
        <v>0</v>
      </c>
      <c r="D6" s="77"/>
      <c r="E6" s="77"/>
      <c r="F6" s="77">
        <f>'05'!AD9</f>
        <v>1</v>
      </c>
      <c r="G6" s="77">
        <f>'06'!AD10</f>
        <v>0.58333333333333337</v>
      </c>
      <c r="H6" s="77">
        <f>'07'!AD9</f>
        <v>0.83333333333333337</v>
      </c>
      <c r="I6" s="77">
        <f>'08'!AD9</f>
        <v>1</v>
      </c>
      <c r="J6" s="77">
        <f>'09'!AD10</f>
        <v>0.70833333333333337</v>
      </c>
      <c r="K6" s="77"/>
      <c r="L6" s="77"/>
      <c r="M6" s="77">
        <f>'12'!AD9</f>
        <v>0.83333333333333337</v>
      </c>
      <c r="N6" s="77">
        <f>'13'!AD9</f>
        <v>1</v>
      </c>
      <c r="O6" s="77">
        <f>'14'!AD9</f>
        <v>1</v>
      </c>
      <c r="P6" s="77">
        <f>'15'!AD10</f>
        <v>1</v>
      </c>
      <c r="Q6" s="77">
        <f>'16'!AD9</f>
        <v>1</v>
      </c>
      <c r="R6" s="77"/>
      <c r="S6" s="77"/>
      <c r="T6" s="77">
        <f>'19'!AD10</f>
        <v>0.41666666666666669</v>
      </c>
      <c r="U6" s="77">
        <f>'20'!AD9</f>
        <v>0.33333333333333331</v>
      </c>
      <c r="V6" s="77">
        <f>'21'!AD9</f>
        <v>0</v>
      </c>
      <c r="W6" s="77">
        <f>'22'!AD10</f>
        <v>0.66666666666666663</v>
      </c>
      <c r="X6" s="77">
        <f>'23'!AD10</f>
        <v>0</v>
      </c>
      <c r="Y6" s="77"/>
      <c r="Z6" s="77"/>
      <c r="AA6" s="77">
        <f>'26'!AD9</f>
        <v>0.45833333333333331</v>
      </c>
      <c r="AB6" s="77">
        <f>'27'!AD9</f>
        <v>1</v>
      </c>
      <c r="AC6" s="77">
        <f>'28'!AD10</f>
        <v>1</v>
      </c>
      <c r="AD6" s="77">
        <f>'29'!AD10</f>
        <v>1</v>
      </c>
      <c r="AE6" s="77">
        <f>'30'!AD9</f>
        <v>1</v>
      </c>
      <c r="AF6" s="78"/>
      <c r="AG6" s="79">
        <f t="shared" si="0"/>
        <v>0.47849462365591394</v>
      </c>
    </row>
    <row r="7" spans="1:33" ht="21.75" customHeight="1">
      <c r="A7" s="101" t="s">
        <v>64</v>
      </c>
      <c r="B7" s="98">
        <f>'01'!AD11</f>
        <v>0.66666666666666663</v>
      </c>
      <c r="C7" s="98">
        <f>'02'!AD11</f>
        <v>0.83333333333333337</v>
      </c>
      <c r="D7" s="77"/>
      <c r="E7" s="77"/>
      <c r="F7" s="77">
        <f>'05'!AD10</f>
        <v>0.45833333333333331</v>
      </c>
      <c r="G7" s="77">
        <f>'06'!AD11</f>
        <v>0</v>
      </c>
      <c r="H7" s="77">
        <f>'07'!AD10</f>
        <v>0.75</v>
      </c>
      <c r="I7" s="77">
        <f>'08'!AD10</f>
        <v>1</v>
      </c>
      <c r="J7" s="77">
        <f>'09'!AD11</f>
        <v>0.66666666666666663</v>
      </c>
      <c r="K7" s="77"/>
      <c r="L7" s="77"/>
      <c r="M7" s="77">
        <f>'12'!AD10</f>
        <v>0</v>
      </c>
      <c r="N7" s="77">
        <f>'13'!AD10</f>
        <v>8.3333333333333329E-2</v>
      </c>
      <c r="O7" s="77">
        <f>'14'!AD10</f>
        <v>0</v>
      </c>
      <c r="P7" s="77">
        <f>'15'!AD11</f>
        <v>0</v>
      </c>
      <c r="Q7" s="77">
        <f>'16'!AD10</f>
        <v>0</v>
      </c>
      <c r="R7" s="77"/>
      <c r="S7" s="77"/>
      <c r="T7" s="77">
        <f>'19'!AD11</f>
        <v>0</v>
      </c>
      <c r="U7" s="77">
        <f>'20'!AD10</f>
        <v>0</v>
      </c>
      <c r="V7" s="77">
        <f>'21'!AD10</f>
        <v>0</v>
      </c>
      <c r="W7" s="77">
        <f>'22'!AD11</f>
        <v>0</v>
      </c>
      <c r="X7" s="77">
        <f>'23'!AD11</f>
        <v>0</v>
      </c>
      <c r="Y7" s="77"/>
      <c r="Z7" s="77"/>
      <c r="AA7" s="77">
        <f>'26'!AD10</f>
        <v>0</v>
      </c>
      <c r="AB7" s="77">
        <f>'27'!AD10</f>
        <v>0.20833333333333334</v>
      </c>
      <c r="AC7" s="77">
        <f>'28'!AD11</f>
        <v>0</v>
      </c>
      <c r="AD7" s="77">
        <f>'29'!AD11</f>
        <v>0</v>
      </c>
      <c r="AE7" s="77">
        <f>'30'!AD10</f>
        <v>0</v>
      </c>
      <c r="AF7" s="78"/>
      <c r="AG7" s="79">
        <f t="shared" si="0"/>
        <v>0.15053763440860213</v>
      </c>
    </row>
    <row r="8" spans="1:33" ht="21.75" customHeight="1">
      <c r="A8" s="101" t="s">
        <v>65</v>
      </c>
      <c r="B8" s="98">
        <f>'01'!AD12</f>
        <v>0</v>
      </c>
      <c r="C8" s="98">
        <f>'02'!AD12</f>
        <v>0.83333333333333337</v>
      </c>
      <c r="D8" s="77"/>
      <c r="E8" s="77"/>
      <c r="F8" s="77">
        <f>'05'!AD11</f>
        <v>0.25</v>
      </c>
      <c r="G8" s="77">
        <f>'06'!AD12</f>
        <v>0.66666666666666663</v>
      </c>
      <c r="H8" s="77">
        <f>'07'!AD11</f>
        <v>0</v>
      </c>
      <c r="I8" s="77">
        <f>'08'!AD11</f>
        <v>0</v>
      </c>
      <c r="J8" s="77">
        <f>'09'!AD12</f>
        <v>0</v>
      </c>
      <c r="K8" s="77"/>
      <c r="L8" s="77"/>
      <c r="M8" s="77">
        <f>'12'!AD11</f>
        <v>0</v>
      </c>
      <c r="N8" s="77">
        <f>'13'!AD11</f>
        <v>0.16666666666666666</v>
      </c>
      <c r="O8" s="77">
        <f>'14'!AD11</f>
        <v>0.83333333333333337</v>
      </c>
      <c r="P8" s="77">
        <f>'15'!AD12</f>
        <v>0.45833333333333331</v>
      </c>
      <c r="Q8" s="77">
        <f>'16'!AD11</f>
        <v>0</v>
      </c>
      <c r="R8" s="77"/>
      <c r="S8" s="77"/>
      <c r="T8" s="77">
        <f>'19'!AD12</f>
        <v>0</v>
      </c>
      <c r="U8" s="77">
        <f>'20'!AD11</f>
        <v>0</v>
      </c>
      <c r="V8" s="77">
        <f>'21'!AD11</f>
        <v>0.75</v>
      </c>
      <c r="W8" s="77">
        <f>'22'!AD12</f>
        <v>0.70833333333333337</v>
      </c>
      <c r="X8" s="77">
        <f>'23'!AD12</f>
        <v>0</v>
      </c>
      <c r="Y8" s="77"/>
      <c r="Z8" s="77"/>
      <c r="AA8" s="77">
        <f>'26'!AD11</f>
        <v>0</v>
      </c>
      <c r="AB8" s="77">
        <f>'27'!AD11</f>
        <v>0.20833333333333334</v>
      </c>
      <c r="AC8" s="77">
        <f>'28'!AD12</f>
        <v>0.20833333333333334</v>
      </c>
      <c r="AD8" s="77">
        <f>'29'!AD12</f>
        <v>0</v>
      </c>
      <c r="AE8" s="77">
        <f>'30'!AD11</f>
        <v>0</v>
      </c>
      <c r="AF8" s="78"/>
      <c r="AG8" s="79">
        <f t="shared" si="0"/>
        <v>0.16397849462365591</v>
      </c>
    </row>
    <row r="9" spans="1:33" ht="21.75" customHeight="1">
      <c r="A9" s="101" t="s">
        <v>66</v>
      </c>
      <c r="B9" s="98">
        <f>'01'!AD13</f>
        <v>0.70833333333333337</v>
      </c>
      <c r="C9" s="98">
        <f>'02'!AD13</f>
        <v>1</v>
      </c>
      <c r="D9" s="77"/>
      <c r="E9" s="77"/>
      <c r="F9" s="77">
        <f>'05'!AD12</f>
        <v>1</v>
      </c>
      <c r="G9" s="77">
        <f>'06'!AD13</f>
        <v>0</v>
      </c>
      <c r="H9" s="77">
        <f>'07'!AD12</f>
        <v>0.20833333333333334</v>
      </c>
      <c r="I9" s="77">
        <f>'08'!AD12</f>
        <v>0.625</v>
      </c>
      <c r="J9" s="77">
        <f>'09'!AD13</f>
        <v>1</v>
      </c>
      <c r="K9" s="77"/>
      <c r="L9" s="77"/>
      <c r="M9" s="77">
        <f>'12'!AD12</f>
        <v>1</v>
      </c>
      <c r="N9" s="77">
        <f>'13'!AD12</f>
        <v>0.41666666666666669</v>
      </c>
      <c r="O9" s="77">
        <f>'14'!AD12</f>
        <v>0.95833333333333337</v>
      </c>
      <c r="P9" s="77">
        <f>'15'!AD13</f>
        <v>1</v>
      </c>
      <c r="Q9" s="77">
        <f>'16'!AD12</f>
        <v>1</v>
      </c>
      <c r="R9" s="77"/>
      <c r="S9" s="77"/>
      <c r="T9" s="77">
        <f>'19'!AD13</f>
        <v>0</v>
      </c>
      <c r="U9" s="77">
        <f>'20'!AD12</f>
        <v>0.25</v>
      </c>
      <c r="V9" s="77">
        <f>'21'!AD12</f>
        <v>1</v>
      </c>
      <c r="W9" s="77">
        <f>'22'!AD13</f>
        <v>1</v>
      </c>
      <c r="X9" s="77">
        <f>'23'!AD13</f>
        <v>1</v>
      </c>
      <c r="Y9" s="77"/>
      <c r="Z9" s="77"/>
      <c r="AA9" s="77">
        <f>'26'!AD12</f>
        <v>1</v>
      </c>
      <c r="AB9" s="77">
        <f>'27'!AD12</f>
        <v>1</v>
      </c>
      <c r="AC9" s="77">
        <f>'28'!AD13</f>
        <v>1</v>
      </c>
      <c r="AD9" s="77">
        <f>'29'!AD13</f>
        <v>0.79166666666666663</v>
      </c>
      <c r="AE9" s="77">
        <f>'30'!AD12</f>
        <v>1</v>
      </c>
      <c r="AF9" s="78"/>
      <c r="AG9" s="79">
        <f t="shared" si="0"/>
        <v>0.54704301075268824</v>
      </c>
    </row>
    <row r="10" spans="1:33" ht="21.75" customHeight="1">
      <c r="A10" s="101" t="s">
        <v>67</v>
      </c>
      <c r="B10" s="98">
        <f>'01'!AD14</f>
        <v>0</v>
      </c>
      <c r="C10" s="98">
        <f>'02'!AD14</f>
        <v>0</v>
      </c>
      <c r="D10" s="77"/>
      <c r="E10" s="77"/>
      <c r="F10" s="77">
        <f>'05'!AD13</f>
        <v>0.79166666666666663</v>
      </c>
      <c r="G10" s="77">
        <f>'06'!AD14</f>
        <v>0.79166666666666663</v>
      </c>
      <c r="H10" s="77">
        <f>'07'!AD13</f>
        <v>0</v>
      </c>
      <c r="I10" s="77">
        <f>'08'!AD13</f>
        <v>0</v>
      </c>
      <c r="J10" s="77">
        <f>'09'!AD14</f>
        <v>0.91666666666666663</v>
      </c>
      <c r="K10" s="77"/>
      <c r="L10" s="77"/>
      <c r="M10" s="77">
        <f>'12'!AD13</f>
        <v>1</v>
      </c>
      <c r="N10" s="77">
        <f>'13'!AD13</f>
        <v>0.83333333333333337</v>
      </c>
      <c r="O10" s="77">
        <f>'14'!AD13</f>
        <v>0.70833333333333337</v>
      </c>
      <c r="P10" s="77">
        <f>'15'!AD14</f>
        <v>1</v>
      </c>
      <c r="Q10" s="77">
        <f>'16'!AD13</f>
        <v>1</v>
      </c>
      <c r="R10" s="77"/>
      <c r="S10" s="77"/>
      <c r="T10" s="77">
        <f>'19'!AD14</f>
        <v>0.41666666666666669</v>
      </c>
      <c r="U10" s="77">
        <f>'20'!AD13</f>
        <v>0.54166666666666663</v>
      </c>
      <c r="V10" s="77">
        <f>'21'!AD13</f>
        <v>0.70833333333333337</v>
      </c>
      <c r="W10" s="77">
        <f>'22'!AD14</f>
        <v>1</v>
      </c>
      <c r="X10" s="77">
        <f>'23'!AD14</f>
        <v>1</v>
      </c>
      <c r="Y10" s="77"/>
      <c r="Z10" s="77"/>
      <c r="AA10" s="77">
        <f>'26'!AD13</f>
        <v>0.58333333333333337</v>
      </c>
      <c r="AB10" s="77">
        <f>'27'!AD13</f>
        <v>1</v>
      </c>
      <c r="AC10" s="77">
        <f>'28'!AD14</f>
        <v>1</v>
      </c>
      <c r="AD10" s="77">
        <f>'29'!AD14</f>
        <v>1</v>
      </c>
      <c r="AE10" s="77">
        <f>'30'!AD13</f>
        <v>1</v>
      </c>
      <c r="AF10" s="78"/>
      <c r="AG10" s="79">
        <f t="shared" si="0"/>
        <v>0.49327956989247318</v>
      </c>
    </row>
    <row r="11" spans="1:33" ht="21.75" customHeight="1">
      <c r="A11" s="106" t="s">
        <v>68</v>
      </c>
      <c r="B11" s="107">
        <f>'01'!AD15</f>
        <v>0.5</v>
      </c>
      <c r="C11" s="107">
        <f>'02'!AD15</f>
        <v>0</v>
      </c>
      <c r="D11" s="108"/>
      <c r="E11" s="108"/>
      <c r="F11" s="108">
        <f>'05'!AD14</f>
        <v>0</v>
      </c>
      <c r="G11" s="108">
        <f>'06'!AD15</f>
        <v>0.16666666666666666</v>
      </c>
      <c r="H11" s="108">
        <f>'07'!AD14</f>
        <v>0</v>
      </c>
      <c r="I11" s="108">
        <f>'08'!AD14</f>
        <v>0</v>
      </c>
      <c r="J11" s="108">
        <f>'09'!AD15</f>
        <v>0</v>
      </c>
      <c r="K11" s="108"/>
      <c r="L11" s="108"/>
      <c r="M11" s="108">
        <f>'12'!AD14</f>
        <v>0</v>
      </c>
      <c r="N11" s="108">
        <f>'13'!AD14</f>
        <v>0</v>
      </c>
      <c r="O11" s="108">
        <f>'14'!AD14</f>
        <v>0</v>
      </c>
      <c r="P11" s="108">
        <f>'15'!AD15</f>
        <v>0</v>
      </c>
      <c r="Q11" s="108">
        <f>'16'!AD14</f>
        <v>0</v>
      </c>
      <c r="R11" s="108"/>
      <c r="S11" s="108"/>
      <c r="T11" s="108">
        <f>'19'!AD15</f>
        <v>0</v>
      </c>
      <c r="U11" s="108">
        <f>'20'!AD14</f>
        <v>0</v>
      </c>
      <c r="V11" s="108">
        <f>'21'!AD14</f>
        <v>0.29166666666666669</v>
      </c>
      <c r="W11" s="108">
        <f>'22'!AD15</f>
        <v>0</v>
      </c>
      <c r="X11" s="108">
        <f>'23'!AD15</f>
        <v>0</v>
      </c>
      <c r="Y11" s="108"/>
      <c r="Z11" s="108"/>
      <c r="AA11" s="108">
        <f>'26'!AD14</f>
        <v>0.5</v>
      </c>
      <c r="AB11" s="108">
        <f>'27'!AD14</f>
        <v>0.5</v>
      </c>
      <c r="AC11" s="108">
        <f>'28'!AD15</f>
        <v>0.5</v>
      </c>
      <c r="AD11" s="108">
        <f>'29'!AD15</f>
        <v>0</v>
      </c>
      <c r="AE11" s="108">
        <f>'30'!AD14</f>
        <v>0.375</v>
      </c>
      <c r="AF11" s="109"/>
      <c r="AG11" s="110">
        <f t="shared" si="0"/>
        <v>9.139784946236558E-2</v>
      </c>
    </row>
    <row r="12" spans="1:33" ht="21.75" customHeight="1">
      <c r="A12" s="100" t="s">
        <v>69</v>
      </c>
      <c r="B12" s="97">
        <f>'01'!AD16</f>
        <v>0</v>
      </c>
      <c r="C12" s="97">
        <f>'02'!AD16</f>
        <v>0</v>
      </c>
      <c r="D12" s="74"/>
      <c r="E12" s="74"/>
      <c r="F12" s="74">
        <f>'05'!AD15</f>
        <v>0</v>
      </c>
      <c r="G12" s="74">
        <f>'06'!AD16</f>
        <v>0</v>
      </c>
      <c r="H12" s="74">
        <f>'07'!AD15</f>
        <v>0</v>
      </c>
      <c r="I12" s="74">
        <f>'08'!AD15</f>
        <v>0</v>
      </c>
      <c r="J12" s="74">
        <f>'09'!AD16</f>
        <v>0</v>
      </c>
      <c r="K12" s="74"/>
      <c r="L12" s="74"/>
      <c r="M12" s="74">
        <f>'12'!AD15</f>
        <v>0</v>
      </c>
      <c r="N12" s="74">
        <f>'13'!AD15</f>
        <v>0</v>
      </c>
      <c r="O12" s="74">
        <f>'14'!AD15</f>
        <v>0</v>
      </c>
      <c r="P12" s="74">
        <f>'15'!AD16</f>
        <v>0</v>
      </c>
      <c r="Q12" s="74">
        <f>'16'!AD15</f>
        <v>0</v>
      </c>
      <c r="R12" s="74"/>
      <c r="S12" s="74"/>
      <c r="T12" s="74">
        <f>'19'!AD16</f>
        <v>0</v>
      </c>
      <c r="U12" s="74">
        <f>'20'!AD15</f>
        <v>0</v>
      </c>
      <c r="V12" s="74">
        <f>'21'!AD15</f>
        <v>0</v>
      </c>
      <c r="W12" s="74">
        <f>'22'!AD16</f>
        <v>0</v>
      </c>
      <c r="X12" s="74">
        <f>'23'!AD16</f>
        <v>0</v>
      </c>
      <c r="Y12" s="74"/>
      <c r="Z12" s="74"/>
      <c r="AA12" s="74">
        <f>'26'!AD15</f>
        <v>0</v>
      </c>
      <c r="AB12" s="74">
        <f>'27'!AD15</f>
        <v>0</v>
      </c>
      <c r="AC12" s="74">
        <f>'28'!AD16</f>
        <v>0</v>
      </c>
      <c r="AD12" s="74">
        <f>'29'!AD16</f>
        <v>0</v>
      </c>
      <c r="AE12" s="74">
        <f>'30'!AD15</f>
        <v>0</v>
      </c>
      <c r="AF12" s="75"/>
      <c r="AG12" s="76">
        <f t="shared" si="0"/>
        <v>0</v>
      </c>
    </row>
    <row r="13" spans="1:33" ht="21.75" customHeight="1">
      <c r="A13" s="101" t="s">
        <v>70</v>
      </c>
      <c r="B13" s="98">
        <f>'01'!AD17</f>
        <v>0</v>
      </c>
      <c r="C13" s="98">
        <f>'02'!AD17</f>
        <v>0</v>
      </c>
      <c r="D13" s="77"/>
      <c r="E13" s="77"/>
      <c r="F13" s="77">
        <f>'05'!AD16</f>
        <v>0.58333333333333337</v>
      </c>
      <c r="G13" s="77">
        <f>'06'!AD17</f>
        <v>1</v>
      </c>
      <c r="H13" s="77">
        <f>'07'!AD16</f>
        <v>0</v>
      </c>
      <c r="I13" s="77">
        <f>'08'!AD16</f>
        <v>0</v>
      </c>
      <c r="J13" s="77">
        <f>'09'!AD17</f>
        <v>0</v>
      </c>
      <c r="K13" s="77"/>
      <c r="L13" s="77"/>
      <c r="M13" s="77">
        <f>'12'!AD16</f>
        <v>0.58333333333333337</v>
      </c>
      <c r="N13" s="77">
        <f>'13'!AD16</f>
        <v>1</v>
      </c>
      <c r="O13" s="77">
        <f>'14'!AD16</f>
        <v>1</v>
      </c>
      <c r="P13" s="77">
        <f>'15'!AD17</f>
        <v>1</v>
      </c>
      <c r="Q13" s="77">
        <f>'16'!AD16</f>
        <v>1</v>
      </c>
      <c r="R13" s="77"/>
      <c r="S13" s="77"/>
      <c r="T13" s="77">
        <f>'19'!AD17</f>
        <v>0</v>
      </c>
      <c r="U13" s="77">
        <f>'20'!AD16</f>
        <v>0.83333333333333337</v>
      </c>
      <c r="V13" s="77">
        <f>'21'!AD16</f>
        <v>0.625</v>
      </c>
      <c r="W13" s="77">
        <f>'22'!AD17</f>
        <v>0.83333333333333337</v>
      </c>
      <c r="X13" s="77">
        <f>'23'!AD17</f>
        <v>1</v>
      </c>
      <c r="Y13" s="77"/>
      <c r="Z13" s="77"/>
      <c r="AA13" s="77">
        <f>'26'!AD16</f>
        <v>1</v>
      </c>
      <c r="AB13" s="77">
        <f>'27'!AD16</f>
        <v>1</v>
      </c>
      <c r="AC13" s="77">
        <f>'28'!AD17</f>
        <v>1</v>
      </c>
      <c r="AD13" s="77">
        <f>'29'!AD17</f>
        <v>1</v>
      </c>
      <c r="AE13" s="77">
        <f>'30'!AD16</f>
        <v>0</v>
      </c>
      <c r="AF13" s="78"/>
      <c r="AG13" s="79">
        <f t="shared" si="0"/>
        <v>0.43413978494623656</v>
      </c>
    </row>
    <row r="14" spans="1:33" ht="21.75" customHeight="1">
      <c r="A14" s="100" t="s">
        <v>71</v>
      </c>
      <c r="B14" s="97">
        <f>'01'!AD18</f>
        <v>0.66666666666666663</v>
      </c>
      <c r="C14" s="97">
        <f>'02'!AD18</f>
        <v>1</v>
      </c>
      <c r="D14" s="74"/>
      <c r="E14" s="74"/>
      <c r="F14" s="74">
        <f>'05'!AD17</f>
        <v>0.625</v>
      </c>
      <c r="G14" s="74">
        <f>'06'!AD18</f>
        <v>0</v>
      </c>
      <c r="H14" s="74">
        <f>'07'!AD17</f>
        <v>0</v>
      </c>
      <c r="I14" s="74">
        <f>'08'!AD17</f>
        <v>0</v>
      </c>
      <c r="J14" s="74">
        <f>'09'!AD18</f>
        <v>0</v>
      </c>
      <c r="K14" s="74"/>
      <c r="L14" s="74"/>
      <c r="M14" s="74">
        <f>'12'!AD17</f>
        <v>0</v>
      </c>
      <c r="N14" s="74">
        <f>'13'!AD17</f>
        <v>0</v>
      </c>
      <c r="O14" s="74">
        <f>'14'!AD17</f>
        <v>0.79166666666666663</v>
      </c>
      <c r="P14" s="74">
        <f>'15'!AD18</f>
        <v>1</v>
      </c>
      <c r="Q14" s="74">
        <f>'16'!AD17</f>
        <v>0.375</v>
      </c>
      <c r="R14" s="74"/>
      <c r="S14" s="74"/>
      <c r="T14" s="74">
        <f>'19'!AD18</f>
        <v>0.95833333333333337</v>
      </c>
      <c r="U14" s="74">
        <f>'20'!AD17</f>
        <v>1</v>
      </c>
      <c r="V14" s="74">
        <f>'21'!AD17</f>
        <v>0</v>
      </c>
      <c r="W14" s="74">
        <f>'22'!AD18</f>
        <v>0</v>
      </c>
      <c r="X14" s="74">
        <f>'23'!AD18</f>
        <v>0</v>
      </c>
      <c r="Y14" s="74"/>
      <c r="Z14" s="74"/>
      <c r="AA14" s="74">
        <f>'26'!AD17</f>
        <v>0</v>
      </c>
      <c r="AB14" s="74">
        <f>'27'!AD17</f>
        <v>0</v>
      </c>
      <c r="AC14" s="74">
        <f>'28'!AD18</f>
        <v>0</v>
      </c>
      <c r="AD14" s="74">
        <f>'29'!AD18</f>
        <v>0</v>
      </c>
      <c r="AE14" s="74">
        <f>'30'!AD17</f>
        <v>0</v>
      </c>
      <c r="AF14" s="75"/>
      <c r="AG14" s="76">
        <f t="shared" si="0"/>
        <v>0.20698924731182794</v>
      </c>
    </row>
    <row r="15" spans="1:33" ht="21.75" customHeight="1">
      <c r="A15" s="101" t="s">
        <v>72</v>
      </c>
      <c r="B15" s="98">
        <f>'01'!AD19</f>
        <v>0</v>
      </c>
      <c r="C15" s="98">
        <f>'02'!AD19</f>
        <v>0.95833333333333337</v>
      </c>
      <c r="D15" s="77"/>
      <c r="E15" s="77"/>
      <c r="F15" s="77">
        <f>'05'!AD18</f>
        <v>1</v>
      </c>
      <c r="G15" s="77">
        <f>'06'!AD19</f>
        <v>0.54166666666666663</v>
      </c>
      <c r="H15" s="77">
        <f>'07'!AD18</f>
        <v>0.20833333333333334</v>
      </c>
      <c r="I15" s="77">
        <f>'08'!AD18</f>
        <v>0.20833333333333334</v>
      </c>
      <c r="J15" s="77">
        <f>'09'!AD19</f>
        <v>0.125</v>
      </c>
      <c r="K15" s="77"/>
      <c r="L15" s="77"/>
      <c r="M15" s="77">
        <f>'12'!AD18</f>
        <v>0</v>
      </c>
      <c r="N15" s="77">
        <f>'13'!AD18</f>
        <v>0.91666666666666663</v>
      </c>
      <c r="O15" s="77">
        <f>'14'!AD18</f>
        <v>0.95833333333333337</v>
      </c>
      <c r="P15" s="77">
        <f>'15'!AD19</f>
        <v>0.58333333333333337</v>
      </c>
      <c r="Q15" s="77">
        <f>'16'!AD18</f>
        <v>0.41666666666666669</v>
      </c>
      <c r="R15" s="77"/>
      <c r="S15" s="77"/>
      <c r="T15" s="77">
        <f>'19'!AD19</f>
        <v>0</v>
      </c>
      <c r="U15" s="77">
        <f>'20'!AD18</f>
        <v>0.79166666666666663</v>
      </c>
      <c r="V15" s="77">
        <f>'21'!AD18</f>
        <v>1</v>
      </c>
      <c r="W15" s="77">
        <f>'22'!AD19</f>
        <v>0.45833333333333331</v>
      </c>
      <c r="X15" s="77">
        <f>'23'!AD19</f>
        <v>0.41666666666666669</v>
      </c>
      <c r="Y15" s="77"/>
      <c r="Z15" s="77"/>
      <c r="AA15" s="77">
        <f>'26'!AD18</f>
        <v>0.41666666666666669</v>
      </c>
      <c r="AB15" s="77">
        <f>'27'!AD18</f>
        <v>0.875</v>
      </c>
      <c r="AC15" s="77">
        <f>'28'!AD19</f>
        <v>1</v>
      </c>
      <c r="AD15" s="77">
        <f>'29'!AD19</f>
        <v>0.875</v>
      </c>
      <c r="AE15" s="77">
        <f>'30'!AD18</f>
        <v>1</v>
      </c>
      <c r="AF15" s="78"/>
      <c r="AG15" s="79">
        <f t="shared" si="0"/>
        <v>0.41129032258064518</v>
      </c>
    </row>
    <row r="16" spans="1:33" ht="21.75" customHeight="1">
      <c r="A16" s="101" t="s">
        <v>117</v>
      </c>
      <c r="B16" s="98">
        <f>'01'!AD20</f>
        <v>1</v>
      </c>
      <c r="C16" s="98">
        <f>'02'!AD20</f>
        <v>1</v>
      </c>
      <c r="D16" s="77"/>
      <c r="E16" s="77"/>
      <c r="F16" s="77">
        <f>'05'!AD19</f>
        <v>0.70833333333333337</v>
      </c>
      <c r="G16" s="77">
        <f>'06'!AD20</f>
        <v>0</v>
      </c>
      <c r="H16" s="77">
        <f>'07'!AD19</f>
        <v>0</v>
      </c>
      <c r="I16" s="77">
        <f>'08'!AD19</f>
        <v>0</v>
      </c>
      <c r="J16" s="77">
        <f>'09'!AD20</f>
        <v>0</v>
      </c>
      <c r="K16" s="77"/>
      <c r="L16" s="77"/>
      <c r="M16" s="77">
        <f>'12'!AD19</f>
        <v>0.5</v>
      </c>
      <c r="N16" s="77">
        <f>'13'!AD19</f>
        <v>0.25</v>
      </c>
      <c r="O16" s="77">
        <f>'14'!AD19</f>
        <v>0</v>
      </c>
      <c r="P16" s="77">
        <f>'15'!AD20</f>
        <v>0</v>
      </c>
      <c r="Q16" s="77">
        <f>'16'!AD19</f>
        <v>0.70833333333333337</v>
      </c>
      <c r="R16" s="77"/>
      <c r="S16" s="77"/>
      <c r="T16" s="77">
        <f>'19'!AD20</f>
        <v>0</v>
      </c>
      <c r="U16" s="77">
        <f>'20'!AD19</f>
        <v>0</v>
      </c>
      <c r="V16" s="77">
        <f>'21'!AD19</f>
        <v>0.75</v>
      </c>
      <c r="W16" s="77">
        <f>'22'!AD20</f>
        <v>0.75</v>
      </c>
      <c r="X16" s="77">
        <f>'23'!AD20</f>
        <v>0.41666666666666669</v>
      </c>
      <c r="Y16" s="77"/>
      <c r="Z16" s="77"/>
      <c r="AA16" s="77">
        <f>'26'!AD19</f>
        <v>0</v>
      </c>
      <c r="AB16" s="77">
        <f>'27'!AD19+'27'!AD20</f>
        <v>0.41666666666666669</v>
      </c>
      <c r="AC16" s="77">
        <f>'28'!AD20</f>
        <v>0</v>
      </c>
      <c r="AD16" s="77">
        <f>'29'!AD20</f>
        <v>0.41666666666666669</v>
      </c>
      <c r="AE16" s="77">
        <f>'30'!AD19</f>
        <v>0.91666666666666663</v>
      </c>
      <c r="AF16" s="78"/>
      <c r="AG16" s="79">
        <f t="shared" si="0"/>
        <v>0.25268817204301081</v>
      </c>
    </row>
    <row r="17" spans="1:33" ht="21.75" customHeight="1">
      <c r="A17" s="101" t="s">
        <v>118</v>
      </c>
      <c r="B17" s="98">
        <f>'01'!AD21</f>
        <v>1</v>
      </c>
      <c r="C17" s="98">
        <f>'02'!AD21</f>
        <v>1</v>
      </c>
      <c r="D17" s="77"/>
      <c r="E17" s="77"/>
      <c r="F17" s="77">
        <f>'05'!AD20</f>
        <v>0.79166666666666663</v>
      </c>
      <c r="G17" s="77">
        <f>'06'!AD21</f>
        <v>1</v>
      </c>
      <c r="H17" s="77">
        <f>'07'!AD20</f>
        <v>1</v>
      </c>
      <c r="I17" s="77">
        <f>'08'!AD20</f>
        <v>1</v>
      </c>
      <c r="J17" s="77">
        <f>'09'!AD21</f>
        <v>0.66666666666666663</v>
      </c>
      <c r="K17" s="77"/>
      <c r="L17" s="77"/>
      <c r="M17" s="77">
        <f>'12'!AD20</f>
        <v>0.84267126380166646</v>
      </c>
      <c r="N17" s="77">
        <f>'13'!AD20</f>
        <v>0.16666666666666666</v>
      </c>
      <c r="O17" s="77">
        <f>'14'!AD20</f>
        <v>0.41666666666666669</v>
      </c>
      <c r="P17" s="77">
        <f>'15'!AD21</f>
        <v>0.83333333333333337</v>
      </c>
      <c r="Q17" s="77">
        <f>'16'!AD20</f>
        <v>0.875</v>
      </c>
      <c r="R17" s="77"/>
      <c r="S17" s="77"/>
      <c r="T17" s="77">
        <f>'19'!AD21</f>
        <v>0.54166666666666663</v>
      </c>
      <c r="U17" s="77">
        <f>'20'!AD20</f>
        <v>0.5</v>
      </c>
      <c r="V17" s="77">
        <f>'21'!AD20</f>
        <v>0.91666666666666663</v>
      </c>
      <c r="W17" s="77">
        <f>'22'!AD21</f>
        <v>0.91666666666666663</v>
      </c>
      <c r="X17" s="77">
        <f>'23'!AD21</f>
        <v>1</v>
      </c>
      <c r="Y17" s="77"/>
      <c r="Z17" s="77"/>
      <c r="AA17" s="77">
        <f>'26'!AD20</f>
        <v>0.875</v>
      </c>
      <c r="AB17" s="77">
        <f>'27'!AD21</f>
        <v>0.91666666666666663</v>
      </c>
      <c r="AC17" s="77">
        <f>'28'!AD21</f>
        <v>0.91666666666666663</v>
      </c>
      <c r="AD17" s="77">
        <f>'29'!AD21</f>
        <v>0.95833333333333337</v>
      </c>
      <c r="AE17" s="77">
        <f>'30'!AD20</f>
        <v>0.875</v>
      </c>
      <c r="AF17" s="78"/>
      <c r="AG17" s="79">
        <f t="shared" si="0"/>
        <v>0.58094638485381711</v>
      </c>
    </row>
    <row r="18" spans="1:33" ht="21.75" customHeight="1">
      <c r="A18" s="101" t="s">
        <v>119</v>
      </c>
      <c r="B18" s="98">
        <f>'01'!AD22</f>
        <v>0.58333333333333337</v>
      </c>
      <c r="C18" s="98">
        <f>'02'!AD22</f>
        <v>0.58333333333333337</v>
      </c>
      <c r="D18" s="77"/>
      <c r="E18" s="77"/>
      <c r="F18" s="77">
        <f>'05'!AD21</f>
        <v>0.91666666666666663</v>
      </c>
      <c r="G18" s="77">
        <f>'06'!AD22</f>
        <v>1</v>
      </c>
      <c r="H18" s="77">
        <f>'07'!AD21</f>
        <v>1</v>
      </c>
      <c r="I18" s="77">
        <f>'08'!AD21</f>
        <v>1</v>
      </c>
      <c r="J18" s="77">
        <f>'09'!AD22</f>
        <v>1</v>
      </c>
      <c r="K18" s="77"/>
      <c r="L18" s="77"/>
      <c r="M18" s="77">
        <f>'12'!AD21</f>
        <v>0</v>
      </c>
      <c r="N18" s="77">
        <f>'13'!AD21</f>
        <v>0</v>
      </c>
      <c r="O18" s="77">
        <f>'14'!AD21</f>
        <v>0.58333333333333337</v>
      </c>
      <c r="P18" s="77">
        <f>'15'!AD22</f>
        <v>0</v>
      </c>
      <c r="Q18" s="77">
        <f>'16'!AD21</f>
        <v>0</v>
      </c>
      <c r="R18" s="77"/>
      <c r="S18" s="77"/>
      <c r="T18" s="77">
        <f>'19'!AD22</f>
        <v>0</v>
      </c>
      <c r="U18" s="77">
        <f>'20'!AD21</f>
        <v>0.625</v>
      </c>
      <c r="V18" s="77">
        <f>'21'!AD21</f>
        <v>0.58333333333333337</v>
      </c>
      <c r="W18" s="77">
        <f>'22'!AD22</f>
        <v>0</v>
      </c>
      <c r="X18" s="77">
        <f>'23'!AD22</f>
        <v>0</v>
      </c>
      <c r="Y18" s="77"/>
      <c r="Z18" s="77"/>
      <c r="AA18" s="77">
        <f>'26'!AD21</f>
        <v>0</v>
      </c>
      <c r="AB18" s="77">
        <f>'27'!AD22</f>
        <v>0</v>
      </c>
      <c r="AC18" s="77">
        <f>'28'!AD22</f>
        <v>0</v>
      </c>
      <c r="AD18" s="77">
        <f>'29'!AD22</f>
        <v>0.25</v>
      </c>
      <c r="AE18" s="77">
        <f>'30'!AD21</f>
        <v>0</v>
      </c>
      <c r="AF18" s="78"/>
      <c r="AG18" s="79">
        <f t="shared" si="0"/>
        <v>0.26209677419354838</v>
      </c>
    </row>
    <row r="19" spans="1:33" ht="21.75" customHeight="1">
      <c r="A19" s="101" t="s">
        <v>138</v>
      </c>
      <c r="B19" s="98">
        <f>'01'!AD23</f>
        <v>0</v>
      </c>
      <c r="C19" s="98">
        <f>'02'!AD23</f>
        <v>0</v>
      </c>
      <c r="D19" s="77"/>
      <c r="E19" s="77"/>
      <c r="F19" s="77">
        <f>'05'!AD22</f>
        <v>0</v>
      </c>
      <c r="G19" s="77">
        <f>'06'!AD23</f>
        <v>0</v>
      </c>
      <c r="H19" s="77">
        <f>'07'!AD22</f>
        <v>0</v>
      </c>
      <c r="I19" s="77">
        <f>'08'!AD22</f>
        <v>0</v>
      </c>
      <c r="J19" s="77">
        <f>'09'!AD23</f>
        <v>0</v>
      </c>
      <c r="K19" s="77"/>
      <c r="L19" s="77"/>
      <c r="M19" s="77">
        <f>'12'!AD22</f>
        <v>0</v>
      </c>
      <c r="N19" s="77">
        <f>'13'!AD22</f>
        <v>0</v>
      </c>
      <c r="O19" s="77">
        <f>'14'!AD22</f>
        <v>0</v>
      </c>
      <c r="P19" s="77">
        <f>'15'!AD23</f>
        <v>0</v>
      </c>
      <c r="Q19" s="77">
        <f>'16'!AD22</f>
        <v>0</v>
      </c>
      <c r="R19" s="77"/>
      <c r="S19" s="77"/>
      <c r="T19" s="77">
        <f>'19'!AD23</f>
        <v>0</v>
      </c>
      <c r="U19" s="77">
        <f>'20'!AD22</f>
        <v>0</v>
      </c>
      <c r="V19" s="77">
        <f>'21'!AD22</f>
        <v>0</v>
      </c>
      <c r="W19" s="77">
        <f>'22'!AD23</f>
        <v>0</v>
      </c>
      <c r="X19" s="77">
        <f>'23'!AD23</f>
        <v>0</v>
      </c>
      <c r="Y19" s="77"/>
      <c r="Z19" s="77"/>
      <c r="AA19" s="77">
        <f>'26'!AD22</f>
        <v>0</v>
      </c>
      <c r="AB19" s="77">
        <f>'27'!AD23</f>
        <v>0</v>
      </c>
      <c r="AC19" s="77">
        <f>'28'!AD23</f>
        <v>0</v>
      </c>
      <c r="AD19" s="77">
        <f>'29'!AD23</f>
        <v>0</v>
      </c>
      <c r="AE19" s="77">
        <f>'30'!AD22</f>
        <v>0</v>
      </c>
      <c r="AF19" s="78"/>
      <c r="AG19" s="79">
        <f t="shared" si="0"/>
        <v>0</v>
      </c>
    </row>
    <row r="20" spans="1:33" ht="21.75" customHeight="1">
      <c r="A20" s="101" t="s">
        <v>139</v>
      </c>
      <c r="B20" s="98">
        <f>'01'!AD24</f>
        <v>0</v>
      </c>
      <c r="C20" s="98">
        <f>'02'!AD24</f>
        <v>0</v>
      </c>
      <c r="D20" s="77"/>
      <c r="E20" s="77"/>
      <c r="F20" s="77">
        <f>'05'!AD23</f>
        <v>0</v>
      </c>
      <c r="G20" s="77">
        <f>'06'!AD24</f>
        <v>0</v>
      </c>
      <c r="H20" s="77">
        <f>'07'!AD23</f>
        <v>0</v>
      </c>
      <c r="I20" s="77">
        <f>'08'!AD23</f>
        <v>0</v>
      </c>
      <c r="J20" s="77">
        <f>'09'!AD24</f>
        <v>0</v>
      </c>
      <c r="K20" s="77"/>
      <c r="L20" s="77"/>
      <c r="M20" s="77">
        <f>'12'!AD23</f>
        <v>0</v>
      </c>
      <c r="N20" s="77">
        <f>'13'!AD23</f>
        <v>0</v>
      </c>
      <c r="O20" s="77">
        <f>'14'!AD23</f>
        <v>0</v>
      </c>
      <c r="P20" s="77">
        <f>'15'!AD24</f>
        <v>0</v>
      </c>
      <c r="Q20" s="77">
        <f>'16'!AD23</f>
        <v>0</v>
      </c>
      <c r="R20" s="77"/>
      <c r="S20" s="77"/>
      <c r="T20" s="77">
        <f>'19'!AD24</f>
        <v>0</v>
      </c>
      <c r="U20" s="77">
        <f>'20'!AD23</f>
        <v>0</v>
      </c>
      <c r="V20" s="77">
        <f>'21'!AD23</f>
        <v>0</v>
      </c>
      <c r="W20" s="77">
        <f>'22'!AD24</f>
        <v>0</v>
      </c>
      <c r="X20" s="77">
        <f>'23'!AD24</f>
        <v>0</v>
      </c>
      <c r="Y20" s="77"/>
      <c r="Z20" s="77"/>
      <c r="AA20" s="77">
        <f>'26'!AD23</f>
        <v>0</v>
      </c>
      <c r="AB20" s="77">
        <f>'27'!AD24</f>
        <v>0</v>
      </c>
      <c r="AC20" s="77">
        <f>'28'!AD24</f>
        <v>0</v>
      </c>
      <c r="AD20" s="77">
        <f>'29'!AD24</f>
        <v>0</v>
      </c>
      <c r="AE20" s="77">
        <f>'30'!AD23</f>
        <v>0</v>
      </c>
      <c r="AF20" s="78"/>
      <c r="AG20" s="79">
        <f t="shared" si="0"/>
        <v>0</v>
      </c>
    </row>
    <row r="21" spans="1:33" ht="21.75" customHeight="1">
      <c r="A21" s="101" t="s">
        <v>140</v>
      </c>
      <c r="B21" s="98">
        <f>'01'!AD25</f>
        <v>0</v>
      </c>
      <c r="C21" s="98">
        <f>'02'!AD25</f>
        <v>0</v>
      </c>
      <c r="D21" s="77"/>
      <c r="E21" s="77"/>
      <c r="F21" s="77">
        <f>'05'!AD24</f>
        <v>0</v>
      </c>
      <c r="G21" s="77">
        <f>'06'!AD25</f>
        <v>0</v>
      </c>
      <c r="H21" s="77">
        <f>'07'!AD24</f>
        <v>0</v>
      </c>
      <c r="I21" s="77">
        <f>'08'!AD24</f>
        <v>0</v>
      </c>
      <c r="J21" s="77">
        <f>'09'!AD25</f>
        <v>0</v>
      </c>
      <c r="K21" s="77"/>
      <c r="L21" s="77"/>
      <c r="M21" s="77">
        <f>'12'!AD24</f>
        <v>0</v>
      </c>
      <c r="N21" s="77">
        <f>'13'!AD24</f>
        <v>0</v>
      </c>
      <c r="O21" s="77">
        <f>'14'!AD24</f>
        <v>0</v>
      </c>
      <c r="P21" s="77">
        <f>'15'!AD25</f>
        <v>0</v>
      </c>
      <c r="Q21" s="77">
        <f>'16'!AD24</f>
        <v>0</v>
      </c>
      <c r="R21" s="77"/>
      <c r="S21" s="77"/>
      <c r="T21" s="77">
        <f>'19'!AD25</f>
        <v>0</v>
      </c>
      <c r="U21" s="77">
        <f>'20'!AD24</f>
        <v>0</v>
      </c>
      <c r="V21" s="77">
        <f>'21'!AD24</f>
        <v>0</v>
      </c>
      <c r="W21" s="77">
        <f>'22'!AD25</f>
        <v>0</v>
      </c>
      <c r="X21" s="77">
        <f>'23'!AD25</f>
        <v>0</v>
      </c>
      <c r="Y21" s="77"/>
      <c r="Z21" s="77"/>
      <c r="AA21" s="77">
        <f>'26'!AD24</f>
        <v>0.875</v>
      </c>
      <c r="AB21" s="77">
        <f>'27'!AD25</f>
        <v>1</v>
      </c>
      <c r="AC21" s="77">
        <f>'28'!AD25</f>
        <v>0.85222585691935704</v>
      </c>
      <c r="AD21" s="77">
        <f>'29'!AD25</f>
        <v>0</v>
      </c>
      <c r="AE21" s="77">
        <f>'30'!AD24</f>
        <v>0</v>
      </c>
      <c r="AF21" s="78"/>
      <c r="AG21" s="79">
        <f t="shared" si="0"/>
        <v>8.7975027642559905E-2</v>
      </c>
    </row>
    <row r="22" spans="1:33" ht="21.75" customHeight="1">
      <c r="A22" s="101" t="s">
        <v>141</v>
      </c>
      <c r="B22" s="98">
        <f>'01'!AD26</f>
        <v>0</v>
      </c>
      <c r="C22" s="98">
        <f>'02'!AD26</f>
        <v>0</v>
      </c>
      <c r="D22" s="77"/>
      <c r="E22" s="77"/>
      <c r="F22" s="77">
        <f>'05'!AD25</f>
        <v>0</v>
      </c>
      <c r="G22" s="77">
        <f>'06'!AD26</f>
        <v>0</v>
      </c>
      <c r="H22" s="77">
        <f>'07'!AD25</f>
        <v>0</v>
      </c>
      <c r="I22" s="77">
        <f>'08'!AD25</f>
        <v>0</v>
      </c>
      <c r="J22" s="77">
        <f>'09'!AD26</f>
        <v>0</v>
      </c>
      <c r="K22" s="77"/>
      <c r="L22" s="77"/>
      <c r="M22" s="77">
        <f>'12'!AD25</f>
        <v>0</v>
      </c>
      <c r="N22" s="77">
        <f>'13'!AD25</f>
        <v>0</v>
      </c>
      <c r="O22" s="77">
        <f>'14'!AD25</f>
        <v>0</v>
      </c>
      <c r="P22" s="77">
        <f>'15'!AD26</f>
        <v>0</v>
      </c>
      <c r="Q22" s="77">
        <f>'16'!AD25</f>
        <v>0</v>
      </c>
      <c r="R22" s="77"/>
      <c r="S22" s="77"/>
      <c r="T22" s="77">
        <f>'19'!AD26</f>
        <v>0</v>
      </c>
      <c r="U22" s="77">
        <f>'20'!AD25</f>
        <v>0</v>
      </c>
      <c r="V22" s="77">
        <f>'21'!AD25</f>
        <v>0</v>
      </c>
      <c r="W22" s="77">
        <f>'22'!AD26</f>
        <v>0</v>
      </c>
      <c r="X22" s="77">
        <f>'23'!AD26</f>
        <v>0</v>
      </c>
      <c r="Y22" s="77"/>
      <c r="Z22" s="77"/>
      <c r="AA22" s="77">
        <f>'26'!AD25</f>
        <v>0.875</v>
      </c>
      <c r="AB22" s="77">
        <f>'27'!AD26</f>
        <v>1</v>
      </c>
      <c r="AC22" s="77">
        <f>'28'!AD26</f>
        <v>0.70357640964335533</v>
      </c>
      <c r="AD22" s="77">
        <f>'29'!AD26</f>
        <v>0</v>
      </c>
      <c r="AE22" s="77">
        <f>'30'!AD25</f>
        <v>0</v>
      </c>
      <c r="AF22" s="78"/>
      <c r="AG22" s="79">
        <f t="shared" si="0"/>
        <v>8.3179884182043723E-2</v>
      </c>
    </row>
    <row r="23" spans="1:33" ht="21.75" customHeight="1">
      <c r="A23" s="101" t="s">
        <v>142</v>
      </c>
      <c r="B23" s="98">
        <f>'01'!AD27</f>
        <v>0</v>
      </c>
      <c r="C23" s="98">
        <f>'02'!AD27</f>
        <v>0</v>
      </c>
      <c r="D23" s="77"/>
      <c r="E23" s="77"/>
      <c r="F23" s="77">
        <f>'05'!AD26</f>
        <v>0</v>
      </c>
      <c r="G23" s="77">
        <f>'06'!AD27</f>
        <v>0</v>
      </c>
      <c r="H23" s="77">
        <f>'07'!AD26</f>
        <v>0</v>
      </c>
      <c r="I23" s="77">
        <f>'08'!AD26</f>
        <v>0</v>
      </c>
      <c r="J23" s="77">
        <f>'09'!AD27</f>
        <v>0</v>
      </c>
      <c r="K23" s="77"/>
      <c r="L23" s="77"/>
      <c r="M23" s="77">
        <f>'12'!AD26</f>
        <v>0</v>
      </c>
      <c r="N23" s="77">
        <f>'13'!AD26</f>
        <v>0</v>
      </c>
      <c r="O23" s="77">
        <f>'14'!AD26</f>
        <v>0</v>
      </c>
      <c r="P23" s="77">
        <f>'15'!AD27</f>
        <v>0</v>
      </c>
      <c r="Q23" s="77">
        <f>'16'!AD26</f>
        <v>0</v>
      </c>
      <c r="R23" s="77"/>
      <c r="S23" s="77"/>
      <c r="T23" s="77">
        <f>'19'!AD27</f>
        <v>0</v>
      </c>
      <c r="U23" s="77">
        <f>'20'!AD26</f>
        <v>0</v>
      </c>
      <c r="V23" s="77">
        <f>'21'!AD26</f>
        <v>0</v>
      </c>
      <c r="W23" s="77">
        <f>'22'!AD27</f>
        <v>0</v>
      </c>
      <c r="X23" s="77">
        <f>'23'!AD27</f>
        <v>0</v>
      </c>
      <c r="Y23" s="77"/>
      <c r="Z23" s="77"/>
      <c r="AA23" s="77">
        <f>'26'!AD26</f>
        <v>0.875</v>
      </c>
      <c r="AB23" s="77">
        <f>'27'!AD27</f>
        <v>1</v>
      </c>
      <c r="AC23" s="77">
        <f>'28'!AD27</f>
        <v>0.67163994457640541</v>
      </c>
      <c r="AD23" s="77">
        <f>'29'!AD27</f>
        <v>0</v>
      </c>
      <c r="AE23" s="77">
        <f>'30'!AD26</f>
        <v>0</v>
      </c>
      <c r="AF23" s="78"/>
      <c r="AG23" s="79">
        <f t="shared" si="0"/>
        <v>8.2149675631496943E-2</v>
      </c>
    </row>
    <row r="24" spans="1:33" ht="21.75" customHeight="1" thickBot="1">
      <c r="A24" s="102" t="s">
        <v>143</v>
      </c>
      <c r="B24" s="99">
        <f>'01'!AD28</f>
        <v>0</v>
      </c>
      <c r="C24" s="99">
        <f>'02'!AD28</f>
        <v>0</v>
      </c>
      <c r="D24" s="80"/>
      <c r="E24" s="80"/>
      <c r="F24" s="80">
        <f>'05'!AD27</f>
        <v>0</v>
      </c>
      <c r="G24" s="80">
        <f>'06'!AD28</f>
        <v>0</v>
      </c>
      <c r="H24" s="80">
        <f>'07'!AD27</f>
        <v>0</v>
      </c>
      <c r="I24" s="80">
        <f>'08'!AD27</f>
        <v>0</v>
      </c>
      <c r="J24" s="80">
        <f>'09'!AD28</f>
        <v>0</v>
      </c>
      <c r="K24" s="80"/>
      <c r="L24" s="80"/>
      <c r="M24" s="80">
        <f>'12'!AD27</f>
        <v>0</v>
      </c>
      <c r="N24" s="80">
        <f>'13'!AD27</f>
        <v>0</v>
      </c>
      <c r="O24" s="80">
        <f>'14'!AD27</f>
        <v>0</v>
      </c>
      <c r="P24" s="80">
        <f>'15'!AD28</f>
        <v>0</v>
      </c>
      <c r="Q24" s="80">
        <f>'16'!AD27</f>
        <v>0</v>
      </c>
      <c r="R24" s="80"/>
      <c r="S24" s="80"/>
      <c r="T24" s="80">
        <f>'19'!AD28</f>
        <v>0</v>
      </c>
      <c r="U24" s="80">
        <f>'20'!AD27</f>
        <v>0</v>
      </c>
      <c r="V24" s="80">
        <f>'21'!AD27</f>
        <v>0</v>
      </c>
      <c r="W24" s="80">
        <f>'22'!AD28</f>
        <v>0</v>
      </c>
      <c r="X24" s="80">
        <f>'23'!AD28</f>
        <v>0</v>
      </c>
      <c r="Y24" s="80"/>
      <c r="Z24" s="80"/>
      <c r="AA24" s="80">
        <f>'26'!AD27</f>
        <v>0.83333333333333337</v>
      </c>
      <c r="AB24" s="80">
        <f>'27'!AD28</f>
        <v>1</v>
      </c>
      <c r="AC24" s="80">
        <f>'28'!AD28</f>
        <v>0.82315210751374457</v>
      </c>
      <c r="AD24" s="80">
        <f>'29'!AD28</f>
        <v>0</v>
      </c>
      <c r="AE24" s="80">
        <f>'30'!AD27</f>
        <v>0</v>
      </c>
      <c r="AF24" s="81"/>
      <c r="AG24" s="82">
        <f t="shared" si="0"/>
        <v>8.569307873700252E-2</v>
      </c>
    </row>
    <row r="25" spans="1:33" s="83" customFormat="1" ht="21.75" customHeight="1">
      <c r="A25" s="87" t="s">
        <v>104</v>
      </c>
      <c r="B25" s="91">
        <f>'01'!AD29</f>
        <v>0.27898550724637677</v>
      </c>
      <c r="C25" s="91">
        <f>'02'!AD29</f>
        <v>0.42753623188405798</v>
      </c>
      <c r="D25" s="92"/>
      <c r="E25" s="92"/>
      <c r="F25" s="92">
        <f>'05'!AD28</f>
        <v>0.47348484848484845</v>
      </c>
      <c r="G25" s="92">
        <f>'06'!AD29</f>
        <v>0.33876811594202905</v>
      </c>
      <c r="H25" s="92">
        <f>'07'!AD28</f>
        <v>0.26893939393939398</v>
      </c>
      <c r="I25" s="92">
        <f>'08'!AD28</f>
        <v>0.29734848484848486</v>
      </c>
      <c r="J25" s="92">
        <f>'09'!AD29</f>
        <v>0.30072463768115942</v>
      </c>
      <c r="K25" s="92"/>
      <c r="L25" s="92"/>
      <c r="M25" s="92">
        <f>'12'!AD28</f>
        <v>0.27504566350613635</v>
      </c>
      <c r="N25" s="92">
        <f>'13'!AD28</f>
        <v>0.27272727272727271</v>
      </c>
      <c r="O25" s="92">
        <f>'14'!AD28</f>
        <v>0.44886363636363635</v>
      </c>
      <c r="P25" s="92">
        <f>'15'!AD29</f>
        <v>0.375</v>
      </c>
      <c r="Q25" s="92">
        <f>'16'!AD28</f>
        <v>0.41666666666666674</v>
      </c>
      <c r="R25" s="92"/>
      <c r="S25" s="92"/>
      <c r="T25" s="92">
        <f>'19'!AD29</f>
        <v>0.18659420289855075</v>
      </c>
      <c r="U25" s="92">
        <f>'20'!AD28</f>
        <v>0.32765151515151519</v>
      </c>
      <c r="V25" s="92">
        <f>'21'!AD28</f>
        <v>0.375</v>
      </c>
      <c r="W25" s="92">
        <f>'22'!AD29</f>
        <v>0.36594202898550721</v>
      </c>
      <c r="X25" s="92">
        <f>'23'!AD29</f>
        <v>0.2952898550724638</v>
      </c>
      <c r="Y25" s="92"/>
      <c r="Z25" s="92"/>
      <c r="AA25" s="92">
        <f>'26'!AD28</f>
        <v>0.40530303030303028</v>
      </c>
      <c r="AB25" s="92">
        <f>'27'!AD29</f>
        <v>0.53442028985507239</v>
      </c>
      <c r="AC25" s="92">
        <f>'28'!AD29</f>
        <v>0.46053308631824036</v>
      </c>
      <c r="AD25" s="92">
        <f>'29'!AD29</f>
        <v>0.38043478260869568</v>
      </c>
      <c r="AE25" s="92">
        <f>'30'!AD28</f>
        <v>0.38839225170652319</v>
      </c>
      <c r="AF25" s="93"/>
      <c r="AG25" s="94">
        <f t="shared" si="0"/>
        <v>0.25463391942547292</v>
      </c>
    </row>
    <row r="26" spans="1:33" ht="21.75" customHeight="1" thickBot="1">
      <c r="A26" s="69" t="s">
        <v>108</v>
      </c>
      <c r="B26" s="70">
        <v>0.62</v>
      </c>
      <c r="C26" s="71">
        <v>0.62</v>
      </c>
      <c r="D26" s="71">
        <v>0.62</v>
      </c>
      <c r="E26" s="71">
        <v>0.62</v>
      </c>
      <c r="F26" s="71">
        <v>0.62</v>
      </c>
      <c r="G26" s="71">
        <v>0.62</v>
      </c>
      <c r="H26" s="71">
        <v>0.62</v>
      </c>
      <c r="I26" s="71">
        <v>0.62</v>
      </c>
      <c r="J26" s="71">
        <v>0.62</v>
      </c>
      <c r="K26" s="71">
        <v>0.62</v>
      </c>
      <c r="L26" s="71">
        <v>0.62</v>
      </c>
      <c r="M26" s="71">
        <v>0.62</v>
      </c>
      <c r="N26" s="71">
        <v>0.62</v>
      </c>
      <c r="O26" s="71">
        <v>0.62</v>
      </c>
      <c r="P26" s="71">
        <v>0.62</v>
      </c>
      <c r="Q26" s="71">
        <v>0.62</v>
      </c>
      <c r="R26" s="71">
        <v>0.62</v>
      </c>
      <c r="S26" s="71">
        <v>0.62</v>
      </c>
      <c r="T26" s="71">
        <v>0.62</v>
      </c>
      <c r="U26" s="71">
        <v>0.62</v>
      </c>
      <c r="V26" s="71">
        <v>0.62</v>
      </c>
      <c r="W26" s="71">
        <v>0.62</v>
      </c>
      <c r="X26" s="71">
        <v>0.62</v>
      </c>
      <c r="Y26" s="71">
        <v>0.62</v>
      </c>
      <c r="Z26" s="71">
        <v>0.62</v>
      </c>
      <c r="AA26" s="71">
        <v>0.62</v>
      </c>
      <c r="AB26" s="71">
        <v>0.62</v>
      </c>
      <c r="AC26" s="71">
        <v>0.62</v>
      </c>
      <c r="AD26" s="71">
        <v>0.62</v>
      </c>
      <c r="AE26" s="71">
        <v>0.62</v>
      </c>
      <c r="AF26" s="72">
        <v>0.62</v>
      </c>
      <c r="AG26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 지정된 범위</vt:lpstr>
      </vt:variant>
      <vt:variant>
        <vt:i4>44</vt:i4>
      </vt:variant>
    </vt:vector>
  </HeadingPairs>
  <TitlesOfParts>
    <vt:vector size="67" baseType="lpstr">
      <vt:lpstr>01</vt:lpstr>
      <vt:lpstr>02</vt:lpstr>
      <vt:lpstr>05</vt:lpstr>
      <vt:lpstr>06</vt:lpstr>
      <vt:lpstr>07</vt:lpstr>
      <vt:lpstr>08</vt:lpstr>
      <vt:lpstr>09</vt:lpstr>
      <vt:lpstr>12</vt:lpstr>
      <vt:lpstr>13</vt:lpstr>
      <vt:lpstr>14</vt:lpstr>
      <vt:lpstr>15</vt:lpstr>
      <vt:lpstr>16</vt:lpstr>
      <vt:lpstr>19</vt:lpstr>
      <vt:lpstr>20</vt:lpstr>
      <vt:lpstr>21</vt:lpstr>
      <vt:lpstr>22</vt:lpstr>
      <vt:lpstr>23</vt:lpstr>
      <vt:lpstr>26</vt:lpstr>
      <vt:lpstr>27</vt:lpstr>
      <vt:lpstr>28</vt:lpstr>
      <vt:lpstr>29</vt:lpstr>
      <vt:lpstr>30</vt:lpstr>
      <vt:lpstr>총괄</vt:lpstr>
      <vt:lpstr>'01'!Print_Area</vt:lpstr>
      <vt:lpstr>'02'!Print_Area</vt:lpstr>
      <vt:lpstr>'05'!Print_Area</vt:lpstr>
      <vt:lpstr>'06'!Print_Area</vt:lpstr>
      <vt:lpstr>'07'!Print_Area</vt:lpstr>
      <vt:lpstr>'08'!Print_Area</vt:lpstr>
      <vt:lpstr>'09'!Print_Area</vt:lpstr>
      <vt:lpstr>'12'!Print_Area</vt:lpstr>
      <vt:lpstr>'13'!Print_Area</vt:lpstr>
      <vt:lpstr>'14'!Print_Area</vt:lpstr>
      <vt:lpstr>'15'!Print_Area</vt:lpstr>
      <vt:lpstr>'16'!Print_Area</vt:lpstr>
      <vt:lpstr>'19'!Print_Area</vt:lpstr>
      <vt:lpstr>'20'!Print_Area</vt:lpstr>
      <vt:lpstr>'21'!Print_Area</vt:lpstr>
      <vt:lpstr>'22'!Print_Area</vt:lpstr>
      <vt:lpstr>'23'!Print_Area</vt:lpstr>
      <vt:lpstr>'26'!Print_Area</vt:lpstr>
      <vt:lpstr>'27'!Print_Area</vt:lpstr>
      <vt:lpstr>'28'!Print_Area</vt:lpstr>
      <vt:lpstr>'29'!Print_Area</vt:lpstr>
      <vt:lpstr>'30'!Print_Area</vt:lpstr>
      <vt:lpstr>'01'!ㅁ1</vt:lpstr>
      <vt:lpstr>'02'!ㅁ1</vt:lpstr>
      <vt:lpstr>'05'!ㅁ1</vt:lpstr>
      <vt:lpstr>'06'!ㅁ1</vt:lpstr>
      <vt:lpstr>'07'!ㅁ1</vt:lpstr>
      <vt:lpstr>'08'!ㅁ1</vt:lpstr>
      <vt:lpstr>'09'!ㅁ1</vt:lpstr>
      <vt:lpstr>'12'!ㅁ1</vt:lpstr>
      <vt:lpstr>'13'!ㅁ1</vt:lpstr>
      <vt:lpstr>'14'!ㅁ1</vt:lpstr>
      <vt:lpstr>'15'!ㅁ1</vt:lpstr>
      <vt:lpstr>'16'!ㅁ1</vt:lpstr>
      <vt:lpstr>'19'!ㅁ1</vt:lpstr>
      <vt:lpstr>'20'!ㅁ1</vt:lpstr>
      <vt:lpstr>'21'!ㅁ1</vt:lpstr>
      <vt:lpstr>'22'!ㅁ1</vt:lpstr>
      <vt:lpstr>'23'!ㅁ1</vt:lpstr>
      <vt:lpstr>'26'!ㅁ1</vt:lpstr>
      <vt:lpstr>'27'!ㅁ1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2021-05-10T23:53:31Z</cp:lastPrinted>
  <dcterms:created xsi:type="dcterms:W3CDTF">2014-05-16T00:06:55Z</dcterms:created>
  <dcterms:modified xsi:type="dcterms:W3CDTF">2021-08-01T05:44:38Z</dcterms:modified>
</cp:coreProperties>
</file>