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B9229DA6-B04C-4F02-B55D-59BF3EB39426}" xr6:coauthVersionLast="47" xr6:coauthVersionMax="47" xr10:uidLastSave="{00000000-0000-0000-0000-000000000000}"/>
  <bookViews>
    <workbookView xWindow="-120" yWindow="-120" windowWidth="29040" windowHeight="15840" activeTab="22" xr2:uid="{00000000-000D-0000-FFFF-FFFF00000000}"/>
  </bookViews>
  <sheets>
    <sheet name="02" sheetId="2072" r:id="rId1"/>
    <sheet name="03" sheetId="2073" r:id="rId2"/>
    <sheet name="04" sheetId="2074" r:id="rId3"/>
    <sheet name="05" sheetId="2075" r:id="rId4"/>
    <sheet name="06" sheetId="2076" r:id="rId5"/>
    <sheet name="09" sheetId="2077" r:id="rId6"/>
    <sheet name="10" sheetId="2078" r:id="rId7"/>
    <sheet name="11" sheetId="2079" r:id="rId8"/>
    <sheet name="12" sheetId="2080" r:id="rId9"/>
    <sheet name="13" sheetId="2081" r:id="rId10"/>
    <sheet name="17" sheetId="2082" r:id="rId11"/>
    <sheet name="18" sheetId="2083" r:id="rId12"/>
    <sheet name="19" sheetId="2084" r:id="rId13"/>
    <sheet name="20" sheetId="2085" r:id="rId14"/>
    <sheet name="21" sheetId="2086" r:id="rId15"/>
    <sheet name="23" sheetId="2087" r:id="rId16"/>
    <sheet name="24" sheetId="2088" r:id="rId17"/>
    <sheet name="25" sheetId="2089" r:id="rId18"/>
    <sheet name="26" sheetId="2090" r:id="rId19"/>
    <sheet name="27" sheetId="2092" r:id="rId20"/>
    <sheet name="28" sheetId="2093" r:id="rId21"/>
    <sheet name="30" sheetId="2094" r:id="rId22"/>
    <sheet name="31" sheetId="2095" r:id="rId23"/>
    <sheet name="총괄" sheetId="16" r:id="rId24"/>
  </sheets>
  <definedNames>
    <definedName name="_xlnm.Print_Area" localSheetId="0">'02'!$A$1:$AD$93</definedName>
    <definedName name="_xlnm.Print_Area" localSheetId="1">'03'!$A$1:$AD$94</definedName>
    <definedName name="_xlnm.Print_Area" localSheetId="2">'04'!$A$1:$AD$93</definedName>
    <definedName name="_xlnm.Print_Area" localSheetId="3">'05'!$A$1:$AD$94</definedName>
    <definedName name="_xlnm.Print_Area" localSheetId="4">'06'!$A$1:$AD$93</definedName>
    <definedName name="_xlnm.Print_Area" localSheetId="5">'09'!$A$1:$AD$93</definedName>
    <definedName name="_xlnm.Print_Area" localSheetId="6">'10'!$A$1:$AD$93</definedName>
    <definedName name="_xlnm.Print_Area" localSheetId="7">'11'!$A$1:$AD$94</definedName>
    <definedName name="_xlnm.Print_Area" localSheetId="8">'12'!$A$1:$AD$94</definedName>
    <definedName name="_xlnm.Print_Area" localSheetId="9">'13'!$A$1:$AD$94</definedName>
    <definedName name="_xlnm.Print_Area" localSheetId="10">'17'!$A$1:$AD$93</definedName>
    <definedName name="_xlnm.Print_Area" localSheetId="11">'18'!$A$1:$AD$93</definedName>
    <definedName name="_xlnm.Print_Area" localSheetId="12">'19'!$A$1:$AD$93</definedName>
    <definedName name="_xlnm.Print_Area" localSheetId="13">'20'!$A$1:$AD$95</definedName>
    <definedName name="_xlnm.Print_Area" localSheetId="14">'21'!$A$1:$AD$94</definedName>
    <definedName name="_xlnm.Print_Area" localSheetId="15">'23'!$A$1:$AD$95</definedName>
    <definedName name="_xlnm.Print_Area" localSheetId="16">'24'!$A$1:$AD$95</definedName>
    <definedName name="_xlnm.Print_Area" localSheetId="17">'25'!$A$1:$AD$94</definedName>
    <definedName name="_xlnm.Print_Area" localSheetId="18">'26'!$A$1:$AD$94</definedName>
    <definedName name="_xlnm.Print_Area" localSheetId="19">'27'!$A$1:$AD$94</definedName>
    <definedName name="_xlnm.Print_Area" localSheetId="20">'28'!$A$1:$AD$93</definedName>
    <definedName name="_xlnm.Print_Area" localSheetId="21">'30'!$A$1:$AD$93</definedName>
    <definedName name="_xlnm.Print_Area" localSheetId="22">'31'!$A$1:$AD$94</definedName>
    <definedName name="ㅁ1" localSheetId="0">'02'!$M$1048528:$M$1048576</definedName>
    <definedName name="ㅁ1" localSheetId="1">'03'!$M$1048529:$M$1048576</definedName>
    <definedName name="ㅁ1" localSheetId="2">'04'!$M$1048528:$M$1048576</definedName>
    <definedName name="ㅁ1" localSheetId="3">'05'!$M$1048529:$M$1048576</definedName>
    <definedName name="ㅁ1" localSheetId="4">'06'!$M$1048528:$M$1048576</definedName>
    <definedName name="ㅁ1" localSheetId="5">'09'!$M$1048528:$M$1048576</definedName>
    <definedName name="ㅁ1" localSheetId="6">'10'!$M$1048528:$M$1048576</definedName>
    <definedName name="ㅁ1" localSheetId="7">'11'!$M$1048529:$M$1048576</definedName>
    <definedName name="ㅁ1" localSheetId="8">'12'!$M$1048529:$M$1048576</definedName>
    <definedName name="ㅁ1" localSheetId="9">'13'!$M$1048529:$M$1048576</definedName>
    <definedName name="ㅁ1" localSheetId="10">'17'!$M$1048528:$M$1048576</definedName>
    <definedName name="ㅁ1" localSheetId="11">'18'!$M$1048528:$M$1048576</definedName>
    <definedName name="ㅁ1" localSheetId="12">'19'!$M$1048528:$M$1048576</definedName>
    <definedName name="ㅁ1" localSheetId="13">'20'!$M$1048530:$M$1048576</definedName>
    <definedName name="ㅁ1" localSheetId="14">'21'!$M$1048529:$M$1048576</definedName>
    <definedName name="ㅁ1" localSheetId="15">'23'!$M$1048530:$M$1048576</definedName>
    <definedName name="ㅁ1" localSheetId="16">'24'!$M$1048530:$M$1048576</definedName>
    <definedName name="ㅁ1" localSheetId="17">'25'!$M$1048529:$M$1048576</definedName>
    <definedName name="ㅁ1" localSheetId="18">'26'!$M$1048529:$M$1048576</definedName>
    <definedName name="ㅁ1" localSheetId="19">'27'!$M$1048529:$M$1048576</definedName>
    <definedName name="ㅁ1" localSheetId="20">'28'!$M$1048528:$M$1048576</definedName>
    <definedName name="ㅁ1" localSheetId="21">'30'!$M$1048528:$M$1048576</definedName>
    <definedName name="ㅁ1" localSheetId="22">'31'!$M$1048529:$M$1048576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F25" i="16" l="1"/>
  <c r="AF24" i="16"/>
  <c r="AF23" i="16"/>
  <c r="AF22" i="16"/>
  <c r="AF21" i="16"/>
  <c r="AF20" i="16"/>
  <c r="AF19" i="16"/>
  <c r="AF18" i="16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8" i="2095"/>
  <c r="K28" i="2095"/>
  <c r="L26" i="2095"/>
  <c r="L25" i="2095"/>
  <c r="O25" i="2095" s="1"/>
  <c r="K25" i="2095"/>
  <c r="L22" i="2095"/>
  <c r="AB22" i="2095" s="1"/>
  <c r="L21" i="2095"/>
  <c r="O21" i="2095" s="1"/>
  <c r="L20" i="2095"/>
  <c r="L19" i="2095"/>
  <c r="AB19" i="2095" s="1"/>
  <c r="L18" i="2095"/>
  <c r="AB18" i="2095" s="1"/>
  <c r="K18" i="2095"/>
  <c r="L17" i="2095"/>
  <c r="L14" i="2095"/>
  <c r="K14" i="2095"/>
  <c r="L13" i="2095"/>
  <c r="K13" i="2095" s="1"/>
  <c r="L12" i="2095"/>
  <c r="K12" i="2095"/>
  <c r="L11" i="2095"/>
  <c r="L10" i="2095"/>
  <c r="K10" i="2095"/>
  <c r="L9" i="2095"/>
  <c r="AB9" i="2095" s="1"/>
  <c r="AF9" i="2095"/>
  <c r="Q9" i="2095"/>
  <c r="P9" i="2095" s="1"/>
  <c r="AC9" i="2095" s="1"/>
  <c r="O9" i="2095"/>
  <c r="K9" i="2095"/>
  <c r="K8" i="2095"/>
  <c r="L7" i="2095"/>
  <c r="K7" i="2095" s="1"/>
  <c r="K22" i="2095"/>
  <c r="K20" i="2095"/>
  <c r="K19" i="2095"/>
  <c r="K11" i="2095"/>
  <c r="K6" i="2095"/>
  <c r="A84" i="2095"/>
  <c r="A85" i="2095" s="1"/>
  <c r="A86" i="2095" s="1"/>
  <c r="A87" i="2095" s="1"/>
  <c r="A88" i="2095" s="1"/>
  <c r="A89" i="2095" s="1"/>
  <c r="AF70" i="2095"/>
  <c r="AF68" i="2095"/>
  <c r="AF67" i="2095"/>
  <c r="AA29" i="2095"/>
  <c r="Z29" i="2095"/>
  <c r="Y29" i="2095"/>
  <c r="X29" i="2095"/>
  <c r="W29" i="2095"/>
  <c r="V29" i="2095"/>
  <c r="U29" i="2095"/>
  <c r="T29" i="2095"/>
  <c r="S29" i="2095"/>
  <c r="R29" i="2095"/>
  <c r="N29" i="2095"/>
  <c r="J29" i="2095"/>
  <c r="AF28" i="2095"/>
  <c r="AB28" i="2095"/>
  <c r="Q28" i="2095"/>
  <c r="O28" i="2095"/>
  <c r="M28" i="2095"/>
  <c r="AF27" i="2095"/>
  <c r="AB27" i="2095"/>
  <c r="Q27" i="2095"/>
  <c r="P27" i="2095"/>
  <c r="AC27" i="2095" s="1"/>
  <c r="AD27" i="2095" s="1"/>
  <c r="O27" i="2095"/>
  <c r="M27" i="2095"/>
  <c r="K27" i="2095"/>
  <c r="AF26" i="2095"/>
  <c r="AB26" i="2095"/>
  <c r="Q26" i="2095"/>
  <c r="O26" i="2095"/>
  <c r="M26" i="2095"/>
  <c r="K26" i="2095"/>
  <c r="AF25" i="2095"/>
  <c r="AB25" i="2095"/>
  <c r="Q25" i="2095"/>
  <c r="P25" i="2095" s="1"/>
  <c r="AC25" i="2095" s="1"/>
  <c r="M25" i="2095"/>
  <c r="AF24" i="2095"/>
  <c r="AB24" i="2095"/>
  <c r="Q24" i="2095"/>
  <c r="P24" i="2095"/>
  <c r="AC24" i="2095" s="1"/>
  <c r="O24" i="2095"/>
  <c r="M24" i="2095"/>
  <c r="K24" i="2095"/>
  <c r="AF23" i="2095"/>
  <c r="AC23" i="2095"/>
  <c r="AB23" i="2095"/>
  <c r="Q23" i="2095"/>
  <c r="P23" i="2095"/>
  <c r="O23" i="2095"/>
  <c r="M23" i="2095"/>
  <c r="K23" i="2095"/>
  <c r="AF22" i="2095"/>
  <c r="Q22" i="2095"/>
  <c r="P22" i="2095"/>
  <c r="AC22" i="2095" s="1"/>
  <c r="O22" i="2095"/>
  <c r="AF21" i="2095"/>
  <c r="AB21" i="2095"/>
  <c r="Q21" i="2095"/>
  <c r="P21" i="2095" s="1"/>
  <c r="AC21" i="2095" s="1"/>
  <c r="M21" i="2095"/>
  <c r="AF20" i="2095"/>
  <c r="Q20" i="2095"/>
  <c r="M20" i="2095"/>
  <c r="O20" i="2095"/>
  <c r="AF19" i="2095"/>
  <c r="Q19" i="2095"/>
  <c r="AF18" i="2095"/>
  <c r="Q18" i="2095"/>
  <c r="P18" i="2095"/>
  <c r="AC18" i="2095" s="1"/>
  <c r="O18" i="2095"/>
  <c r="AF17" i="2095"/>
  <c r="AB17" i="2095"/>
  <c r="Q17" i="2095"/>
  <c r="O17" i="2095"/>
  <c r="M17" i="2095"/>
  <c r="K17" i="2095"/>
  <c r="AF16" i="2095"/>
  <c r="AB16" i="2095"/>
  <c r="Q16" i="2095"/>
  <c r="P16" i="2095"/>
  <c r="AC16" i="2095" s="1"/>
  <c r="O16" i="2095"/>
  <c r="M16" i="2095"/>
  <c r="K16" i="2095"/>
  <c r="AF15" i="2095"/>
  <c r="AB15" i="2095"/>
  <c r="Q15" i="2095"/>
  <c r="P15" i="2095" s="1"/>
  <c r="AC15" i="2095" s="1"/>
  <c r="O15" i="2095"/>
  <c r="M15" i="2095"/>
  <c r="K15" i="2095"/>
  <c r="AF14" i="2095"/>
  <c r="Q14" i="2095"/>
  <c r="AB14" i="2095"/>
  <c r="AF13" i="2095"/>
  <c r="Q13" i="2095"/>
  <c r="P13" i="2095" s="1"/>
  <c r="AC13" i="2095" s="1"/>
  <c r="O13" i="2095"/>
  <c r="I13" i="2095"/>
  <c r="I29" i="2095" s="1"/>
  <c r="AF12" i="2095"/>
  <c r="AB12" i="2095"/>
  <c r="Q12" i="2095"/>
  <c r="O12" i="2095"/>
  <c r="M12" i="2095"/>
  <c r="AF11" i="2095"/>
  <c r="AB11" i="2095"/>
  <c r="Q11" i="2095"/>
  <c r="M11" i="2095"/>
  <c r="O11" i="2095"/>
  <c r="AF10" i="2095"/>
  <c r="AB10" i="2095"/>
  <c r="Q10" i="2095"/>
  <c r="P10" i="2095"/>
  <c r="AC10" i="2095" s="1"/>
  <c r="O10" i="2095"/>
  <c r="M10" i="2095"/>
  <c r="AF8" i="2095"/>
  <c r="AB8" i="2095"/>
  <c r="Q8" i="2095"/>
  <c r="P8" i="2095" s="1"/>
  <c r="AC8" i="2095" s="1"/>
  <c r="O8" i="2095"/>
  <c r="M8" i="2095"/>
  <c r="AF7" i="2095"/>
  <c r="Q7" i="2095"/>
  <c r="AF6" i="2095"/>
  <c r="Q6" i="2095"/>
  <c r="P6" i="2095"/>
  <c r="AC6" i="2095" s="1"/>
  <c r="O6" i="2095"/>
  <c r="AE25" i="16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2094"/>
  <c r="L20" i="2094"/>
  <c r="L19" i="2094"/>
  <c r="L18" i="2094"/>
  <c r="L17" i="2094"/>
  <c r="L13" i="2094"/>
  <c r="L12" i="2094"/>
  <c r="L10" i="2094"/>
  <c r="L7" i="2094"/>
  <c r="L6" i="2094"/>
  <c r="K9" i="2094"/>
  <c r="L9" i="2093"/>
  <c r="P28" i="2095" l="1"/>
  <c r="AC28" i="2095" s="1"/>
  <c r="AD28" i="2095" s="1"/>
  <c r="P26" i="2095"/>
  <c r="AC26" i="2095" s="1"/>
  <c r="K21" i="2095"/>
  <c r="K29" i="2095" s="1"/>
  <c r="P17" i="2095"/>
  <c r="AC17" i="2095" s="1"/>
  <c r="AD15" i="2095"/>
  <c r="AB13" i="2095"/>
  <c r="AD13" i="2095" s="1"/>
  <c r="P12" i="2095"/>
  <c r="AC12" i="2095" s="1"/>
  <c r="AD12" i="2095" s="1"/>
  <c r="AD10" i="2095"/>
  <c r="AD9" i="2095"/>
  <c r="M9" i="2095"/>
  <c r="AD25" i="2095"/>
  <c r="Q29" i="2095"/>
  <c r="AD23" i="2095"/>
  <c r="AD26" i="2095"/>
  <c r="L29" i="2095"/>
  <c r="O29" i="2095" s="1"/>
  <c r="AD24" i="2095"/>
  <c r="AD8" i="2095"/>
  <c r="AD16" i="2095"/>
  <c r="M7" i="2095"/>
  <c r="AD21" i="2095"/>
  <c r="AD22" i="2095"/>
  <c r="AD17" i="2095"/>
  <c r="AD18" i="2095"/>
  <c r="AB7" i="2095"/>
  <c r="M6" i="2095"/>
  <c r="AB6" i="2095"/>
  <c r="AD6" i="2095" s="1"/>
  <c r="O7" i="2095"/>
  <c r="P11" i="2095"/>
  <c r="AC11" i="2095" s="1"/>
  <c r="AD11" i="2095" s="1"/>
  <c r="M13" i="2095"/>
  <c r="O14" i="2095"/>
  <c r="M18" i="2095"/>
  <c r="O19" i="2095"/>
  <c r="P20" i="2095"/>
  <c r="AC20" i="2095" s="1"/>
  <c r="M22" i="2095"/>
  <c r="P7" i="2095"/>
  <c r="AC7" i="2095" s="1"/>
  <c r="P14" i="2095"/>
  <c r="AC14" i="2095" s="1"/>
  <c r="AD14" i="2095" s="1"/>
  <c r="P19" i="2095"/>
  <c r="AC19" i="2095" s="1"/>
  <c r="AD19" i="2095" s="1"/>
  <c r="AB20" i="2095"/>
  <c r="M14" i="2095"/>
  <c r="M19" i="2095"/>
  <c r="K27" i="2094"/>
  <c r="K25" i="2094"/>
  <c r="K21" i="2094"/>
  <c r="K20" i="2094"/>
  <c r="K19" i="2094"/>
  <c r="K18" i="2094"/>
  <c r="K17" i="2094"/>
  <c r="K16" i="2094"/>
  <c r="K13" i="2094"/>
  <c r="K12" i="2094"/>
  <c r="K11" i="2094"/>
  <c r="K10" i="2094"/>
  <c r="K8" i="2094"/>
  <c r="K7" i="2094"/>
  <c r="A83" i="2094"/>
  <c r="A84" i="2094" s="1"/>
  <c r="A85" i="2094" s="1"/>
  <c r="A86" i="2094" s="1"/>
  <c r="A87" i="2094" s="1"/>
  <c r="A88" i="2094" s="1"/>
  <c r="AF67" i="2094"/>
  <c r="AF69" i="2094" s="1"/>
  <c r="AF66" i="2094"/>
  <c r="AA28" i="2094"/>
  <c r="Z28" i="2094"/>
  <c r="Y28" i="2094"/>
  <c r="X28" i="2094"/>
  <c r="W28" i="2094"/>
  <c r="V28" i="2094"/>
  <c r="U28" i="2094"/>
  <c r="T28" i="2094"/>
  <c r="S28" i="2094"/>
  <c r="R28" i="2094"/>
  <c r="N28" i="2094"/>
  <c r="J28" i="2094"/>
  <c r="AF27" i="2094"/>
  <c r="AB27" i="2094"/>
  <c r="Q27" i="2094"/>
  <c r="P27" i="2094"/>
  <c r="AC27" i="2094" s="1"/>
  <c r="O27" i="2094"/>
  <c r="M27" i="2094"/>
  <c r="AF26" i="2094"/>
  <c r="AB26" i="2094"/>
  <c r="Q26" i="2094"/>
  <c r="P26" i="2094"/>
  <c r="AC26" i="2094" s="1"/>
  <c r="AD26" i="2094" s="1"/>
  <c r="O26" i="2094"/>
  <c r="M26" i="2094"/>
  <c r="K26" i="2094"/>
  <c r="AF25" i="2094"/>
  <c r="Q25" i="2094"/>
  <c r="O25" i="2094"/>
  <c r="AB25" i="2094"/>
  <c r="AF24" i="2094"/>
  <c r="AB24" i="2094"/>
  <c r="Q24" i="2094"/>
  <c r="P24" i="2094"/>
  <c r="AC24" i="2094" s="1"/>
  <c r="O24" i="2094"/>
  <c r="M24" i="2094"/>
  <c r="K24" i="2094"/>
  <c r="AF23" i="2094"/>
  <c r="AB23" i="2094"/>
  <c r="Q23" i="2094"/>
  <c r="P23" i="2094"/>
  <c r="AC23" i="2094" s="1"/>
  <c r="O23" i="2094"/>
  <c r="M23" i="2094"/>
  <c r="K23" i="2094"/>
  <c r="AF22" i="2094"/>
  <c r="AB22" i="2094"/>
  <c r="Q22" i="2094"/>
  <c r="P22" i="2094"/>
  <c r="AC22" i="2094" s="1"/>
  <c r="O22" i="2094"/>
  <c r="M22" i="2094"/>
  <c r="K22" i="2094"/>
  <c r="AF21" i="2094"/>
  <c r="AB21" i="2094"/>
  <c r="Q21" i="2094"/>
  <c r="P21" i="2094" s="1"/>
  <c r="AC21" i="2094" s="1"/>
  <c r="O21" i="2094"/>
  <c r="M21" i="2094"/>
  <c r="AF20" i="2094"/>
  <c r="Q20" i="2094"/>
  <c r="O20" i="2094"/>
  <c r="AB20" i="2094"/>
  <c r="AF19" i="2094"/>
  <c r="AB19" i="2094"/>
  <c r="Q19" i="2094"/>
  <c r="P19" i="2094" s="1"/>
  <c r="AC19" i="2094" s="1"/>
  <c r="M19" i="2094"/>
  <c r="O19" i="2094"/>
  <c r="AF18" i="2094"/>
  <c r="Q18" i="2094"/>
  <c r="P18" i="2094"/>
  <c r="AC18" i="2094" s="1"/>
  <c r="AF17" i="2094"/>
  <c r="AB17" i="2094"/>
  <c r="Q17" i="2094"/>
  <c r="P17" i="2094"/>
  <c r="AC17" i="2094" s="1"/>
  <c r="O17" i="2094"/>
  <c r="M17" i="2094"/>
  <c r="AF16" i="2094"/>
  <c r="Q16" i="2094"/>
  <c r="O16" i="2094"/>
  <c r="AB16" i="2094"/>
  <c r="AF15" i="2094"/>
  <c r="AB15" i="2094"/>
  <c r="Q15" i="2094"/>
  <c r="P15" i="2094"/>
  <c r="AC15" i="2094" s="1"/>
  <c r="O15" i="2094"/>
  <c r="M15" i="2094"/>
  <c r="K15" i="2094"/>
  <c r="AF14" i="2094"/>
  <c r="AB14" i="2094"/>
  <c r="Q14" i="2094"/>
  <c r="P14" i="2094"/>
  <c r="AC14" i="2094" s="1"/>
  <c r="AD14" i="2094" s="1"/>
  <c r="O14" i="2094"/>
  <c r="M14" i="2094"/>
  <c r="K14" i="2094"/>
  <c r="AF13" i="2094"/>
  <c r="AB13" i="2094"/>
  <c r="Q13" i="2094"/>
  <c r="P13" i="2094" s="1"/>
  <c r="AC13" i="2094" s="1"/>
  <c r="M13" i="2094"/>
  <c r="O13" i="2094"/>
  <c r="AF12" i="2094"/>
  <c r="Q12" i="2094"/>
  <c r="P12" i="2094"/>
  <c r="AC12" i="2094" s="1"/>
  <c r="I12" i="2094"/>
  <c r="I28" i="2094" s="1"/>
  <c r="AF11" i="2094"/>
  <c r="Q11" i="2094"/>
  <c r="P11" i="2094"/>
  <c r="AC11" i="2094" s="1"/>
  <c r="AF10" i="2094"/>
  <c r="AB10" i="2094"/>
  <c r="Q10" i="2094"/>
  <c r="P10" i="2094"/>
  <c r="AC10" i="2094" s="1"/>
  <c r="AD10" i="2094" s="1"/>
  <c r="M10" i="2094"/>
  <c r="O10" i="2094"/>
  <c r="AF9" i="2094"/>
  <c r="Q9" i="2094"/>
  <c r="O9" i="2094"/>
  <c r="AB9" i="2094"/>
  <c r="AF8" i="2094"/>
  <c r="AB8" i="2094"/>
  <c r="Q8" i="2094"/>
  <c r="P8" i="2094"/>
  <c r="AC8" i="2094" s="1"/>
  <c r="O8" i="2094"/>
  <c r="M8" i="2094"/>
  <c r="AF7" i="2094"/>
  <c r="AB7" i="2094"/>
  <c r="Q7" i="2094"/>
  <c r="P7" i="2094"/>
  <c r="AC7" i="2094" s="1"/>
  <c r="M7" i="2094"/>
  <c r="O7" i="2094"/>
  <c r="AF6" i="2094"/>
  <c r="Q6" i="2094"/>
  <c r="O6" i="2094"/>
  <c r="AB6" i="2094"/>
  <c r="AC24" i="16"/>
  <c r="AC23" i="16"/>
  <c r="AC22" i="16"/>
  <c r="AC21" i="16"/>
  <c r="AC20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5" i="16"/>
  <c r="AC4" i="16"/>
  <c r="AC3" i="16"/>
  <c r="L21" i="2093"/>
  <c r="L20" i="2093"/>
  <c r="L19" i="2093"/>
  <c r="L18" i="2093"/>
  <c r="L17" i="2093"/>
  <c r="O17" i="2093" s="1"/>
  <c r="K17" i="2093"/>
  <c r="L16" i="2093"/>
  <c r="P16" i="2093" s="1"/>
  <c r="AC16" i="2093" s="1"/>
  <c r="L13" i="2093"/>
  <c r="O13" i="2093" s="1"/>
  <c r="K13" i="2093"/>
  <c r="L12" i="2093"/>
  <c r="K12" i="2093" s="1"/>
  <c r="L11" i="2093"/>
  <c r="AB11" i="2093" s="1"/>
  <c r="K11" i="2093"/>
  <c r="L10" i="2093"/>
  <c r="AB9" i="2093"/>
  <c r="K8" i="2093"/>
  <c r="L6" i="2093"/>
  <c r="M6" i="2093" s="1"/>
  <c r="L7" i="2093"/>
  <c r="AB7" i="2093" s="1"/>
  <c r="L27" i="2093"/>
  <c r="K27" i="2093"/>
  <c r="L25" i="2093"/>
  <c r="AB25" i="2093" s="1"/>
  <c r="K25" i="2093"/>
  <c r="K21" i="2093"/>
  <c r="K20" i="2093"/>
  <c r="K19" i="2093"/>
  <c r="K18" i="2093"/>
  <c r="K16" i="2093"/>
  <c r="K10" i="2093"/>
  <c r="A83" i="2093"/>
  <c r="A84" i="2093" s="1"/>
  <c r="A85" i="2093" s="1"/>
  <c r="A86" i="2093" s="1"/>
  <c r="A87" i="2093" s="1"/>
  <c r="A88" i="2093" s="1"/>
  <c r="AF67" i="2093"/>
  <c r="AF66" i="2093"/>
  <c r="AF69" i="2093" s="1"/>
  <c r="AA28" i="2093"/>
  <c r="Z28" i="2093"/>
  <c r="Y28" i="2093"/>
  <c r="X28" i="2093"/>
  <c r="W28" i="2093"/>
  <c r="V28" i="2093"/>
  <c r="U28" i="2093"/>
  <c r="T28" i="2093"/>
  <c r="S28" i="2093"/>
  <c r="R28" i="2093"/>
  <c r="N28" i="2093"/>
  <c r="J28" i="2093"/>
  <c r="AF27" i="2093"/>
  <c r="AB27" i="2093"/>
  <c r="Q27" i="2093"/>
  <c r="P27" i="2093" s="1"/>
  <c r="AC27" i="2093" s="1"/>
  <c r="O27" i="2093"/>
  <c r="M27" i="2093"/>
  <c r="AF26" i="2093"/>
  <c r="AB26" i="2093"/>
  <c r="Q26" i="2093"/>
  <c r="P26" i="2093"/>
  <c r="AC26" i="2093" s="1"/>
  <c r="O26" i="2093"/>
  <c r="M26" i="2093"/>
  <c r="K26" i="2093"/>
  <c r="AF25" i="2093"/>
  <c r="Q25" i="2093"/>
  <c r="P25" i="2093" s="1"/>
  <c r="AC25" i="2093" s="1"/>
  <c r="M25" i="2093"/>
  <c r="AF24" i="2093"/>
  <c r="AB24" i="2093"/>
  <c r="Q24" i="2093"/>
  <c r="P24" i="2093"/>
  <c r="AC24" i="2093" s="1"/>
  <c r="O24" i="2093"/>
  <c r="M24" i="2093"/>
  <c r="K24" i="2093"/>
  <c r="AF23" i="2093"/>
  <c r="AB23" i="2093"/>
  <c r="Q23" i="2093"/>
  <c r="P23" i="2093"/>
  <c r="AC23" i="2093" s="1"/>
  <c r="AD23" i="2093" s="1"/>
  <c r="O23" i="2093"/>
  <c r="M23" i="2093"/>
  <c r="K23" i="2093"/>
  <c r="AF22" i="2093"/>
  <c r="AB22" i="2093"/>
  <c r="Q22" i="2093"/>
  <c r="P22" i="2093"/>
  <c r="AC22" i="2093" s="1"/>
  <c r="O22" i="2093"/>
  <c r="M22" i="2093"/>
  <c r="K22" i="2093"/>
  <c r="AF21" i="2093"/>
  <c r="Q21" i="2093"/>
  <c r="O21" i="2093"/>
  <c r="AB21" i="2093"/>
  <c r="AF20" i="2093"/>
  <c r="AB20" i="2093"/>
  <c r="Q20" i="2093"/>
  <c r="P20" i="2093"/>
  <c r="AC20" i="2093" s="1"/>
  <c r="M20" i="2093"/>
  <c r="O20" i="2093"/>
  <c r="AF19" i="2093"/>
  <c r="Q19" i="2093"/>
  <c r="P19" i="2093"/>
  <c r="AC19" i="2093" s="1"/>
  <c r="AF18" i="2093"/>
  <c r="AB18" i="2093"/>
  <c r="Q18" i="2093"/>
  <c r="O18" i="2093"/>
  <c r="M18" i="2093"/>
  <c r="AF17" i="2093"/>
  <c r="Q17" i="2093"/>
  <c r="AB17" i="2093"/>
  <c r="AF16" i="2093"/>
  <c r="AB16" i="2093"/>
  <c r="Q16" i="2093"/>
  <c r="M16" i="2093"/>
  <c r="O16" i="2093"/>
  <c r="AF15" i="2093"/>
  <c r="AB15" i="2093"/>
  <c r="Q15" i="2093"/>
  <c r="P15" i="2093"/>
  <c r="AC15" i="2093" s="1"/>
  <c r="O15" i="2093"/>
  <c r="M15" i="2093"/>
  <c r="K15" i="2093"/>
  <c r="AF14" i="2093"/>
  <c r="AB14" i="2093"/>
  <c r="Q14" i="2093"/>
  <c r="P14" i="2093"/>
  <c r="AC14" i="2093" s="1"/>
  <c r="O14" i="2093"/>
  <c r="M14" i="2093"/>
  <c r="K14" i="2093"/>
  <c r="AF13" i="2093"/>
  <c r="AB13" i="2093"/>
  <c r="Q13" i="2093"/>
  <c r="P13" i="2093" s="1"/>
  <c r="AC13" i="2093" s="1"/>
  <c r="M13" i="2093"/>
  <c r="AF12" i="2093"/>
  <c r="Q12" i="2093"/>
  <c r="AB12" i="2093"/>
  <c r="I12" i="2093"/>
  <c r="I28" i="2093" s="1"/>
  <c r="AF11" i="2093"/>
  <c r="Q11" i="2093"/>
  <c r="P11" i="2093" s="1"/>
  <c r="AC11" i="2093" s="1"/>
  <c r="O11" i="2093"/>
  <c r="AF10" i="2093"/>
  <c r="Q10" i="2093"/>
  <c r="AF9" i="2093"/>
  <c r="Q9" i="2093"/>
  <c r="O9" i="2093"/>
  <c r="AF8" i="2093"/>
  <c r="AB8" i="2093"/>
  <c r="Q8" i="2093"/>
  <c r="P8" i="2093" s="1"/>
  <c r="AC8" i="2093" s="1"/>
  <c r="O8" i="2093"/>
  <c r="M8" i="2093"/>
  <c r="AF7" i="2093"/>
  <c r="Q7" i="2093"/>
  <c r="AF6" i="2093"/>
  <c r="AB6" i="2093"/>
  <c r="Q6" i="2093"/>
  <c r="O6" i="2093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2" i="2092"/>
  <c r="L21" i="2092"/>
  <c r="L20" i="2092"/>
  <c r="L19" i="2092"/>
  <c r="M19" i="2092" s="1"/>
  <c r="K19" i="2092"/>
  <c r="AF19" i="2092"/>
  <c r="AB19" i="2092"/>
  <c r="Q19" i="2092"/>
  <c r="P19" i="2092" s="1"/>
  <c r="AC19" i="2092" s="1"/>
  <c r="O19" i="2092"/>
  <c r="L18" i="2092"/>
  <c r="K18" i="2092"/>
  <c r="L17" i="2092"/>
  <c r="M17" i="2092" s="1"/>
  <c r="L13" i="2092"/>
  <c r="L12" i="2092"/>
  <c r="K12" i="2092" s="1"/>
  <c r="K11" i="2092"/>
  <c r="L10" i="2092"/>
  <c r="L9" i="2092"/>
  <c r="L7" i="2092"/>
  <c r="K6" i="2092"/>
  <c r="L26" i="2092"/>
  <c r="K26" i="2092"/>
  <c r="K22" i="2092"/>
  <c r="K21" i="2092"/>
  <c r="K20" i="2092"/>
  <c r="K17" i="2092"/>
  <c r="K13" i="2092"/>
  <c r="K10" i="2092"/>
  <c r="K9" i="2092"/>
  <c r="K8" i="2092"/>
  <c r="K7" i="2092"/>
  <c r="A85" i="2092"/>
  <c r="A86" i="2092" s="1"/>
  <c r="A87" i="2092" s="1"/>
  <c r="A88" i="2092" s="1"/>
  <c r="A89" i="2092" s="1"/>
  <c r="A84" i="2092"/>
  <c r="AF70" i="2092"/>
  <c r="AF68" i="2092"/>
  <c r="AF67" i="2092"/>
  <c r="AA29" i="2092"/>
  <c r="Z29" i="2092"/>
  <c r="Y29" i="2092"/>
  <c r="X29" i="2092"/>
  <c r="W29" i="2092"/>
  <c r="V29" i="2092"/>
  <c r="U29" i="2092"/>
  <c r="T29" i="2092"/>
  <c r="S29" i="2092"/>
  <c r="R29" i="2092"/>
  <c r="N29" i="2092"/>
  <c r="J29" i="2092"/>
  <c r="I29" i="2092"/>
  <c r="AF28" i="2092"/>
  <c r="AC28" i="2092"/>
  <c r="AD28" i="2092" s="1"/>
  <c r="AB28" i="2092"/>
  <c r="Q28" i="2092"/>
  <c r="P28" i="2092"/>
  <c r="O28" i="2092"/>
  <c r="M28" i="2092"/>
  <c r="K28" i="2092"/>
  <c r="AF27" i="2092"/>
  <c r="AB27" i="2092"/>
  <c r="Q27" i="2092"/>
  <c r="P27" i="2092"/>
  <c r="AC27" i="2092" s="1"/>
  <c r="O27" i="2092"/>
  <c r="M27" i="2092"/>
  <c r="K27" i="2092"/>
  <c r="AF26" i="2092"/>
  <c r="AB26" i="2092"/>
  <c r="Q26" i="2092"/>
  <c r="P26" i="2092" s="1"/>
  <c r="AC26" i="2092" s="1"/>
  <c r="AD26" i="2092" s="1"/>
  <c r="O26" i="2092"/>
  <c r="M26" i="2092"/>
  <c r="AF25" i="2092"/>
  <c r="AC25" i="2092"/>
  <c r="AD25" i="2092" s="1"/>
  <c r="AB25" i="2092"/>
  <c r="Q25" i="2092"/>
  <c r="P25" i="2092"/>
  <c r="O25" i="2092"/>
  <c r="M25" i="2092"/>
  <c r="K25" i="2092"/>
  <c r="AF24" i="2092"/>
  <c r="AC24" i="2092"/>
  <c r="AD24" i="2092" s="1"/>
  <c r="AB24" i="2092"/>
  <c r="Q24" i="2092"/>
  <c r="P24" i="2092"/>
  <c r="O24" i="2092"/>
  <c r="M24" i="2092"/>
  <c r="K24" i="2092"/>
  <c r="AF23" i="2092"/>
  <c r="AC23" i="2092"/>
  <c r="AD23" i="2092" s="1"/>
  <c r="AB23" i="2092"/>
  <c r="Q23" i="2092"/>
  <c r="P23" i="2092"/>
  <c r="O23" i="2092"/>
  <c r="M23" i="2092"/>
  <c r="K23" i="2092"/>
  <c r="AF22" i="2092"/>
  <c r="Q22" i="2092"/>
  <c r="P22" i="2092" s="1"/>
  <c r="AC22" i="2092" s="1"/>
  <c r="O22" i="2092"/>
  <c r="AF21" i="2092"/>
  <c r="AB21" i="2092"/>
  <c r="Q21" i="2092"/>
  <c r="P21" i="2092" s="1"/>
  <c r="AC21" i="2092" s="1"/>
  <c r="O21" i="2092"/>
  <c r="M21" i="2092"/>
  <c r="AF20" i="2092"/>
  <c r="Q20" i="2092"/>
  <c r="O20" i="2092"/>
  <c r="AF18" i="2092"/>
  <c r="AB18" i="2092"/>
  <c r="Q18" i="2092"/>
  <c r="M18" i="2092"/>
  <c r="AF17" i="2092"/>
  <c r="AB17" i="2092"/>
  <c r="Q17" i="2092"/>
  <c r="O17" i="2092"/>
  <c r="AF16" i="2092"/>
  <c r="AC16" i="2092"/>
  <c r="AD16" i="2092" s="1"/>
  <c r="AB16" i="2092"/>
  <c r="Q16" i="2092"/>
  <c r="P16" i="2092"/>
  <c r="O16" i="2092"/>
  <c r="M16" i="2092"/>
  <c r="K16" i="2092"/>
  <c r="AF15" i="2092"/>
  <c r="AC15" i="2092"/>
  <c r="AB15" i="2092"/>
  <c r="Q15" i="2092"/>
  <c r="P15" i="2092"/>
  <c r="O15" i="2092"/>
  <c r="M15" i="2092"/>
  <c r="K15" i="2092"/>
  <c r="AF14" i="2092"/>
  <c r="AC14" i="2092"/>
  <c r="AD14" i="2092" s="1"/>
  <c r="AB14" i="2092"/>
  <c r="Q14" i="2092"/>
  <c r="P14" i="2092"/>
  <c r="O14" i="2092"/>
  <c r="M14" i="2092"/>
  <c r="K14" i="2092"/>
  <c r="AF13" i="2092"/>
  <c r="Q13" i="2092"/>
  <c r="O13" i="2092"/>
  <c r="I13" i="2092"/>
  <c r="AF12" i="2092"/>
  <c r="Q12" i="2092"/>
  <c r="AB12" i="2092"/>
  <c r="AF11" i="2092"/>
  <c r="AB11" i="2092"/>
  <c r="Q11" i="2092"/>
  <c r="P11" i="2092" s="1"/>
  <c r="AC11" i="2092" s="1"/>
  <c r="AD11" i="2092" s="1"/>
  <c r="O11" i="2092"/>
  <c r="M11" i="2092"/>
  <c r="AF10" i="2092"/>
  <c r="AB10" i="2092"/>
  <c r="Q10" i="2092"/>
  <c r="P10" i="2092"/>
  <c r="AC10" i="2092" s="1"/>
  <c r="O10" i="2092"/>
  <c r="M10" i="2092"/>
  <c r="AF9" i="2092"/>
  <c r="Q9" i="2092"/>
  <c r="O9" i="2092"/>
  <c r="AF8" i="2092"/>
  <c r="AB8" i="2092"/>
  <c r="Q8" i="2092"/>
  <c r="P8" i="2092" s="1"/>
  <c r="AC8" i="2092" s="1"/>
  <c r="M8" i="2092"/>
  <c r="O8" i="2092"/>
  <c r="AF7" i="2092"/>
  <c r="Q7" i="2092"/>
  <c r="O7" i="2092"/>
  <c r="P7" i="2092"/>
  <c r="AC7" i="2092" s="1"/>
  <c r="AF6" i="2092"/>
  <c r="AB6" i="2092"/>
  <c r="Q6" i="2092"/>
  <c r="P6" i="2092" s="1"/>
  <c r="AC6" i="2092" s="1"/>
  <c r="O6" i="2092"/>
  <c r="M6" i="2092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2090"/>
  <c r="K22" i="2090" s="1"/>
  <c r="L21" i="2090"/>
  <c r="L20" i="2090"/>
  <c r="K20" i="2090"/>
  <c r="L17" i="2090"/>
  <c r="O17" i="2090" s="1"/>
  <c r="L13" i="2090"/>
  <c r="L12" i="2090"/>
  <c r="O12" i="2090" s="1"/>
  <c r="K12" i="2090"/>
  <c r="K11" i="2090"/>
  <c r="L10" i="2090"/>
  <c r="AB10" i="2090" s="1"/>
  <c r="L9" i="2090"/>
  <c r="L8" i="2090"/>
  <c r="K8" i="2090"/>
  <c r="L7" i="2090"/>
  <c r="AB7" i="2090" s="1"/>
  <c r="K18" i="2090"/>
  <c r="K17" i="2090"/>
  <c r="K14" i="2090"/>
  <c r="K13" i="2090"/>
  <c r="K10" i="2090"/>
  <c r="K9" i="2090"/>
  <c r="K7" i="2090"/>
  <c r="A84" i="2090"/>
  <c r="A85" i="2090" s="1"/>
  <c r="A86" i="2090" s="1"/>
  <c r="A87" i="2090" s="1"/>
  <c r="A88" i="2090" s="1"/>
  <c r="A89" i="2090" s="1"/>
  <c r="AF68" i="2090"/>
  <c r="AF70" i="2090" s="1"/>
  <c r="AF67" i="2090"/>
  <c r="AA29" i="2090"/>
  <c r="Z29" i="2090"/>
  <c r="Y29" i="2090"/>
  <c r="X29" i="2090"/>
  <c r="W29" i="2090"/>
  <c r="V29" i="2090"/>
  <c r="U29" i="2090"/>
  <c r="T29" i="2090"/>
  <c r="S29" i="2090"/>
  <c r="R29" i="2090"/>
  <c r="N29" i="2090"/>
  <c r="J29" i="2090"/>
  <c r="AF28" i="2090"/>
  <c r="AB28" i="2090"/>
  <c r="Q28" i="2090"/>
  <c r="P28" i="2090"/>
  <c r="AC28" i="2090" s="1"/>
  <c r="AD28" i="2090" s="1"/>
  <c r="O28" i="2090"/>
  <c r="M28" i="2090"/>
  <c r="K28" i="2090"/>
  <c r="AF27" i="2090"/>
  <c r="AB27" i="2090"/>
  <c r="Q27" i="2090"/>
  <c r="P27" i="2090"/>
  <c r="AC27" i="2090" s="1"/>
  <c r="AD27" i="2090" s="1"/>
  <c r="O27" i="2090"/>
  <c r="M27" i="2090"/>
  <c r="K27" i="2090"/>
  <c r="AF26" i="2090"/>
  <c r="AB26" i="2090"/>
  <c r="Q26" i="2090"/>
  <c r="P26" i="2090"/>
  <c r="AC26" i="2090" s="1"/>
  <c r="AD26" i="2090" s="1"/>
  <c r="O26" i="2090"/>
  <c r="M26" i="2090"/>
  <c r="K26" i="2090"/>
  <c r="AF25" i="2090"/>
  <c r="AB25" i="2090"/>
  <c r="Q25" i="2090"/>
  <c r="P25" i="2090"/>
  <c r="AC25" i="2090" s="1"/>
  <c r="AD25" i="2090" s="1"/>
  <c r="O25" i="2090"/>
  <c r="M25" i="2090"/>
  <c r="K25" i="2090"/>
  <c r="AF24" i="2090"/>
  <c r="AB24" i="2090"/>
  <c r="Q24" i="2090"/>
  <c r="P24" i="2090"/>
  <c r="AC24" i="2090" s="1"/>
  <c r="AD24" i="2090" s="1"/>
  <c r="O24" i="2090"/>
  <c r="M24" i="2090"/>
  <c r="K24" i="2090"/>
  <c r="AF23" i="2090"/>
  <c r="AB23" i="2090"/>
  <c r="Q23" i="2090"/>
  <c r="P23" i="2090"/>
  <c r="AC23" i="2090" s="1"/>
  <c r="AD23" i="2090" s="1"/>
  <c r="O23" i="2090"/>
  <c r="M23" i="2090"/>
  <c r="K23" i="2090"/>
  <c r="AF22" i="2090"/>
  <c r="AB22" i="2090"/>
  <c r="Q22" i="2090"/>
  <c r="O22" i="2090"/>
  <c r="M22" i="2090"/>
  <c r="AF21" i="2090"/>
  <c r="Q21" i="2090"/>
  <c r="P21" i="2090"/>
  <c r="AC21" i="2090" s="1"/>
  <c r="AF20" i="2090"/>
  <c r="Q20" i="2090"/>
  <c r="P20" i="2090"/>
  <c r="AC20" i="2090" s="1"/>
  <c r="O20" i="2090"/>
  <c r="AF19" i="2090"/>
  <c r="AC19" i="2090"/>
  <c r="AB19" i="2090"/>
  <c r="Q19" i="2090"/>
  <c r="P19" i="2090"/>
  <c r="O19" i="2090"/>
  <c r="M19" i="2090"/>
  <c r="K19" i="2090"/>
  <c r="AF18" i="2090"/>
  <c r="Q18" i="2090"/>
  <c r="P18" i="2090"/>
  <c r="AC18" i="2090" s="1"/>
  <c r="AF17" i="2090"/>
  <c r="Q17" i="2090"/>
  <c r="P17" i="2090"/>
  <c r="AC17" i="2090" s="1"/>
  <c r="AF16" i="2090"/>
  <c r="AB16" i="2090"/>
  <c r="Q16" i="2090"/>
  <c r="P16" i="2090"/>
  <c r="AC16" i="2090" s="1"/>
  <c r="AD16" i="2090" s="1"/>
  <c r="O16" i="2090"/>
  <c r="M16" i="2090"/>
  <c r="K16" i="2090"/>
  <c r="AF15" i="2090"/>
  <c r="AB15" i="2090"/>
  <c r="Q15" i="2090"/>
  <c r="P15" i="2090"/>
  <c r="AC15" i="2090" s="1"/>
  <c r="AD15" i="2090" s="1"/>
  <c r="O15" i="2090"/>
  <c r="M15" i="2090"/>
  <c r="K15" i="2090"/>
  <c r="AF14" i="2090"/>
  <c r="Q14" i="2090"/>
  <c r="O14" i="2090"/>
  <c r="AB14" i="2090"/>
  <c r="AF13" i="2090"/>
  <c r="AB13" i="2090"/>
  <c r="Q13" i="2090"/>
  <c r="P13" i="2090"/>
  <c r="AC13" i="2090" s="1"/>
  <c r="O13" i="2090"/>
  <c r="M13" i="2090"/>
  <c r="I13" i="2090"/>
  <c r="I29" i="2090" s="1"/>
  <c r="AF12" i="2090"/>
  <c r="AB12" i="2090"/>
  <c r="Q12" i="2090"/>
  <c r="P12" i="2090"/>
  <c r="AC12" i="2090" s="1"/>
  <c r="M12" i="2090"/>
  <c r="AF11" i="2090"/>
  <c r="AB11" i="2090"/>
  <c r="Q11" i="2090"/>
  <c r="P11" i="2090"/>
  <c r="AC11" i="2090" s="1"/>
  <c r="O11" i="2090"/>
  <c r="M11" i="2090"/>
  <c r="AF10" i="2090"/>
  <c r="Q10" i="2090"/>
  <c r="P10" i="2090"/>
  <c r="AC10" i="2090" s="1"/>
  <c r="O10" i="2090"/>
  <c r="AF9" i="2090"/>
  <c r="Q9" i="2090"/>
  <c r="P9" i="2090"/>
  <c r="AC9" i="2090" s="1"/>
  <c r="AF8" i="2090"/>
  <c r="AB8" i="2090"/>
  <c r="Q8" i="2090"/>
  <c r="M8" i="2090"/>
  <c r="O8" i="2090"/>
  <c r="AF7" i="2090"/>
  <c r="Q7" i="2090"/>
  <c r="O7" i="2090"/>
  <c r="AF6" i="2090"/>
  <c r="AB6" i="2090"/>
  <c r="Q6" i="2090"/>
  <c r="P6" i="2090"/>
  <c r="AC6" i="2090" s="1"/>
  <c r="O6" i="2090"/>
  <c r="M6" i="2090"/>
  <c r="K6" i="2090"/>
  <c r="Z25" i="16"/>
  <c r="Z24" i="16"/>
  <c r="Z23" i="16"/>
  <c r="Z22" i="16"/>
  <c r="Z21" i="16"/>
  <c r="Z20" i="16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2" i="2089"/>
  <c r="L21" i="2089"/>
  <c r="K21" i="2089" s="1"/>
  <c r="L20" i="2089"/>
  <c r="K20" i="2089" s="1"/>
  <c r="L18" i="2089"/>
  <c r="L17" i="2089"/>
  <c r="L14" i="2089"/>
  <c r="L13" i="2089"/>
  <c r="K12" i="2089"/>
  <c r="K11" i="2089"/>
  <c r="L10" i="2089"/>
  <c r="L9" i="2089"/>
  <c r="L8" i="2089"/>
  <c r="K8" i="2089" s="1"/>
  <c r="L7" i="2089"/>
  <c r="AB29" i="2095" l="1"/>
  <c r="P29" i="2095"/>
  <c r="M29" i="2095"/>
  <c r="AD7" i="2095"/>
  <c r="AD20" i="2095"/>
  <c r="AC29" i="2095"/>
  <c r="AD21" i="2094"/>
  <c r="Q28" i="2094"/>
  <c r="AD17" i="2094"/>
  <c r="AD24" i="2094"/>
  <c r="AD8" i="2094"/>
  <c r="AD19" i="2094"/>
  <c r="AD23" i="2094"/>
  <c r="AD27" i="2094"/>
  <c r="AD15" i="2094"/>
  <c r="AD22" i="2094"/>
  <c r="AD7" i="2094"/>
  <c r="AD13" i="2094"/>
  <c r="L28" i="2094"/>
  <c r="O28" i="2094" s="1"/>
  <c r="K6" i="2094"/>
  <c r="P6" i="2094"/>
  <c r="P9" i="2094"/>
  <c r="AC9" i="2094" s="1"/>
  <c r="AD9" i="2094" s="1"/>
  <c r="M11" i="2094"/>
  <c r="AB11" i="2094"/>
  <c r="M12" i="2094"/>
  <c r="AB12" i="2094"/>
  <c r="P16" i="2094"/>
  <c r="AC16" i="2094" s="1"/>
  <c r="AD16" i="2094" s="1"/>
  <c r="M18" i="2094"/>
  <c r="AB18" i="2094"/>
  <c r="P20" i="2094"/>
  <c r="AC20" i="2094" s="1"/>
  <c r="AD20" i="2094" s="1"/>
  <c r="P25" i="2094"/>
  <c r="AC25" i="2094" s="1"/>
  <c r="AD25" i="2094" s="1"/>
  <c r="O11" i="2094"/>
  <c r="O12" i="2094"/>
  <c r="O18" i="2094"/>
  <c r="M6" i="2094"/>
  <c r="M9" i="2094"/>
  <c r="M16" i="2094"/>
  <c r="M20" i="2094"/>
  <c r="M25" i="2094"/>
  <c r="P18" i="2093"/>
  <c r="AC18" i="2093" s="1"/>
  <c r="AD18" i="2093" s="1"/>
  <c r="O12" i="2093"/>
  <c r="AD15" i="2093"/>
  <c r="AD22" i="2093"/>
  <c r="AD26" i="2093"/>
  <c r="K7" i="2093"/>
  <c r="K6" i="2093"/>
  <c r="P10" i="2093"/>
  <c r="AC10" i="2093" s="1"/>
  <c r="AD14" i="2093"/>
  <c r="K9" i="2093"/>
  <c r="P7" i="2093"/>
  <c r="AC7" i="2093" s="1"/>
  <c r="AD13" i="2093"/>
  <c r="AD24" i="2093"/>
  <c r="M11" i="2093"/>
  <c r="AD11" i="2093"/>
  <c r="M10" i="2093"/>
  <c r="AB10" i="2093"/>
  <c r="AD10" i="2093" s="1"/>
  <c r="O10" i="2093"/>
  <c r="Q28" i="2093"/>
  <c r="AD8" i="2093"/>
  <c r="O7" i="2093"/>
  <c r="AD7" i="2093" s="1"/>
  <c r="M7" i="2093"/>
  <c r="AD27" i="2093"/>
  <c r="O25" i="2093"/>
  <c r="AD20" i="2093"/>
  <c r="AD16" i="2093"/>
  <c r="K28" i="2093"/>
  <c r="AD25" i="2093"/>
  <c r="L28" i="2093"/>
  <c r="O28" i="2093" s="1"/>
  <c r="P6" i="2093"/>
  <c r="P9" i="2093"/>
  <c r="AC9" i="2093" s="1"/>
  <c r="AD9" i="2093" s="1"/>
  <c r="AC6" i="16" s="1"/>
  <c r="P12" i="2093"/>
  <c r="AC12" i="2093" s="1"/>
  <c r="P17" i="2093"/>
  <c r="AC17" i="2093" s="1"/>
  <c r="AD17" i="2093" s="1"/>
  <c r="M19" i="2093"/>
  <c r="AB19" i="2093"/>
  <c r="P21" i="2093"/>
  <c r="AC21" i="2093" s="1"/>
  <c r="AD21" i="2093" s="1"/>
  <c r="O19" i="2093"/>
  <c r="M9" i="2093"/>
  <c r="M12" i="2093"/>
  <c r="M17" i="2093"/>
  <c r="M21" i="2093"/>
  <c r="AD21" i="2092"/>
  <c r="AD19" i="2092"/>
  <c r="P18" i="2092"/>
  <c r="AC18" i="2092" s="1"/>
  <c r="AD18" i="2092" s="1"/>
  <c r="O18" i="2092"/>
  <c r="P17" i="2092"/>
  <c r="AC17" i="2092" s="1"/>
  <c r="AD17" i="2092" s="1"/>
  <c r="AD8" i="2092"/>
  <c r="Q29" i="2092"/>
  <c r="AD27" i="2092"/>
  <c r="AD10" i="2092"/>
  <c r="AD15" i="2092"/>
  <c r="AD6" i="2092"/>
  <c r="O12" i="2092"/>
  <c r="M7" i="2092"/>
  <c r="AB7" i="2092"/>
  <c r="AD7" i="2092" s="1"/>
  <c r="P9" i="2092"/>
  <c r="AC9" i="2092" s="1"/>
  <c r="P12" i="2092"/>
  <c r="AC12" i="2092" s="1"/>
  <c r="P13" i="2092"/>
  <c r="AC13" i="2092" s="1"/>
  <c r="P20" i="2092"/>
  <c r="AC20" i="2092" s="1"/>
  <c r="M22" i="2092"/>
  <c r="AB22" i="2092"/>
  <c r="AD22" i="2092" s="1"/>
  <c r="L29" i="2092"/>
  <c r="O29" i="2092" s="1"/>
  <c r="K29" i="2092"/>
  <c r="M9" i="2092"/>
  <c r="AB9" i="2092"/>
  <c r="M12" i="2092"/>
  <c r="M13" i="2092"/>
  <c r="AB13" i="2092"/>
  <c r="M20" i="2092"/>
  <c r="AB20" i="2092"/>
  <c r="P22" i="2090"/>
  <c r="AC22" i="2090" s="1"/>
  <c r="AD22" i="2090" s="1"/>
  <c r="Q29" i="2090"/>
  <c r="AD12" i="2090"/>
  <c r="M10" i="2090"/>
  <c r="AD10" i="2090"/>
  <c r="P8" i="2090"/>
  <c r="AC8" i="2090" s="1"/>
  <c r="AD8" i="2090" s="1"/>
  <c r="AD19" i="2090"/>
  <c r="AD11" i="2090"/>
  <c r="AD13" i="2090"/>
  <c r="AD6" i="2090"/>
  <c r="L29" i="2090"/>
  <c r="O29" i="2090" s="1"/>
  <c r="P7" i="2090"/>
  <c r="AC7" i="2090" s="1"/>
  <c r="AD7" i="2090" s="1"/>
  <c r="M9" i="2090"/>
  <c r="AB9" i="2090"/>
  <c r="P14" i="2090"/>
  <c r="AC14" i="2090" s="1"/>
  <c r="AD14" i="2090" s="1"/>
  <c r="M18" i="2090"/>
  <c r="AB18" i="2090"/>
  <c r="AD18" i="2090" s="1"/>
  <c r="M21" i="2090"/>
  <c r="AB21" i="2090"/>
  <c r="O9" i="2090"/>
  <c r="M17" i="2090"/>
  <c r="AB17" i="2090"/>
  <c r="AD17" i="2090" s="1"/>
  <c r="O18" i="2090"/>
  <c r="M20" i="2090"/>
  <c r="AB20" i="2090"/>
  <c r="AD20" i="2090" s="1"/>
  <c r="O21" i="2090"/>
  <c r="AD21" i="2090" s="1"/>
  <c r="M7" i="2090"/>
  <c r="M14" i="2090"/>
  <c r="K21" i="2090"/>
  <c r="K29" i="2090" s="1"/>
  <c r="AD29" i="2095" l="1"/>
  <c r="AB28" i="2094"/>
  <c r="AD12" i="2094"/>
  <c r="AD18" i="2094"/>
  <c r="K28" i="2094"/>
  <c r="AD11" i="2094"/>
  <c r="M28" i="2094"/>
  <c r="P28" i="2094"/>
  <c r="AC6" i="2094"/>
  <c r="AD12" i="2093"/>
  <c r="AB28" i="2093"/>
  <c r="M28" i="2093"/>
  <c r="AD19" i="2093"/>
  <c r="P28" i="2093"/>
  <c r="AC6" i="2093"/>
  <c r="AD9" i="2092"/>
  <c r="M29" i="2092"/>
  <c r="AD13" i="2092"/>
  <c r="AC29" i="2092"/>
  <c r="P29" i="2092"/>
  <c r="AD20" i="2092"/>
  <c r="AD12" i="2092"/>
  <c r="AB29" i="2092"/>
  <c r="M29" i="2090"/>
  <c r="AB29" i="2090"/>
  <c r="P29" i="2090"/>
  <c r="AC29" i="2090"/>
  <c r="AD9" i="2090"/>
  <c r="AD29" i="2090" s="1"/>
  <c r="AE28" i="2095" l="1"/>
  <c r="AE9" i="2095"/>
  <c r="AE15" i="2095"/>
  <c r="AE20" i="2095"/>
  <c r="AE7" i="2095"/>
  <c r="AE6" i="2095"/>
  <c r="AE22" i="2095"/>
  <c r="AE17" i="2095"/>
  <c r="AE23" i="2095"/>
  <c r="AE10" i="2095"/>
  <c r="AE12" i="2095"/>
  <c r="AE24" i="2095"/>
  <c r="AE16" i="2095"/>
  <c r="AE21" i="2095"/>
  <c r="AE25" i="2095"/>
  <c r="AE19" i="2095"/>
  <c r="AE13" i="2095"/>
  <c r="AE26" i="2095"/>
  <c r="AE8" i="2095"/>
  <c r="AE11" i="2095"/>
  <c r="AE27" i="2095"/>
  <c r="AE14" i="2095"/>
  <c r="AE18" i="2095"/>
  <c r="AC28" i="2094"/>
  <c r="AD6" i="2094"/>
  <c r="AD28" i="2094" s="1"/>
  <c r="AC28" i="2093"/>
  <c r="AD6" i="2093"/>
  <c r="AD28" i="2093" s="1"/>
  <c r="AC25" i="16" s="1"/>
  <c r="AD29" i="2092"/>
  <c r="AE28" i="2090"/>
  <c r="AE26" i="2090"/>
  <c r="AE24" i="2090"/>
  <c r="AE22" i="2090"/>
  <c r="AE13" i="2090"/>
  <c r="AE12" i="2090"/>
  <c r="AE10" i="2090"/>
  <c r="AE6" i="2090"/>
  <c r="AE15" i="2090"/>
  <c r="AE19" i="2090"/>
  <c r="AE16" i="2090"/>
  <c r="AE14" i="2090"/>
  <c r="AE7" i="2090"/>
  <c r="AE9" i="2090"/>
  <c r="AE27" i="2090"/>
  <c r="AE25" i="2090"/>
  <c r="AE23" i="2090"/>
  <c r="AE20" i="2090"/>
  <c r="AE17" i="2090"/>
  <c r="AE11" i="2090"/>
  <c r="AE8" i="2090"/>
  <c r="AE21" i="2090"/>
  <c r="AE18" i="2090"/>
  <c r="AE27" i="2094" l="1"/>
  <c r="AE24" i="2094"/>
  <c r="AE22" i="2094"/>
  <c r="AE19" i="2094"/>
  <c r="AE15" i="2094"/>
  <c r="AE13" i="2094"/>
  <c r="AE8" i="2094"/>
  <c r="AE12" i="2094"/>
  <c r="AE25" i="2094"/>
  <c r="AE20" i="2094"/>
  <c r="AE16" i="2094"/>
  <c r="AE9" i="2094"/>
  <c r="AE6" i="2094"/>
  <c r="AE26" i="2094"/>
  <c r="AE18" i="2094"/>
  <c r="AE23" i="2094"/>
  <c r="AE21" i="2094"/>
  <c r="AE17" i="2094"/>
  <c r="AE14" i="2094"/>
  <c r="AE10" i="2094"/>
  <c r="AE7" i="2094"/>
  <c r="AE11" i="2094"/>
  <c r="AE27" i="2093"/>
  <c r="AE25" i="2093"/>
  <c r="AE20" i="2093"/>
  <c r="AE16" i="2093"/>
  <c r="AE11" i="2093"/>
  <c r="AE8" i="2093"/>
  <c r="AE19" i="2093"/>
  <c r="AE23" i="2093"/>
  <c r="AE21" i="2093"/>
  <c r="AE17" i="2093"/>
  <c r="AE14" i="2093"/>
  <c r="AE12" i="2093"/>
  <c r="AE9" i="2093"/>
  <c r="AE6" i="2093"/>
  <c r="AE24" i="2093"/>
  <c r="AE22" i="2093"/>
  <c r="AE26" i="2093"/>
  <c r="AE18" i="2093"/>
  <c r="AE10" i="2093"/>
  <c r="AE7" i="2093"/>
  <c r="AE15" i="2093"/>
  <c r="AE13" i="2093"/>
  <c r="AE26" i="2092"/>
  <c r="AE19" i="2092"/>
  <c r="AE27" i="2092"/>
  <c r="AE6" i="2092"/>
  <c r="AE8" i="2092"/>
  <c r="AE9" i="2092"/>
  <c r="AE16" i="2092"/>
  <c r="AE21" i="2092"/>
  <c r="AE23" i="2092"/>
  <c r="AE12" i="2092"/>
  <c r="AE22" i="2092"/>
  <c r="AE28" i="2092"/>
  <c r="AE7" i="2092"/>
  <c r="AE10" i="2092"/>
  <c r="AE20" i="2092"/>
  <c r="AE11" i="2092"/>
  <c r="AE13" i="2092"/>
  <c r="AE24" i="2092"/>
  <c r="AE14" i="2092"/>
  <c r="AE18" i="2092"/>
  <c r="AE25" i="2092"/>
  <c r="AE17" i="2092"/>
  <c r="AE15" i="2092"/>
  <c r="K22" i="2089"/>
  <c r="K19" i="2089"/>
  <c r="K18" i="2089"/>
  <c r="K17" i="2089"/>
  <c r="K14" i="2089"/>
  <c r="K13" i="2089"/>
  <c r="K10" i="2089"/>
  <c r="K9" i="2089"/>
  <c r="K7" i="2089"/>
  <c r="A84" i="2089"/>
  <c r="A85" i="2089" s="1"/>
  <c r="A86" i="2089" s="1"/>
  <c r="A87" i="2089" s="1"/>
  <c r="A88" i="2089" s="1"/>
  <c r="A89" i="2089" s="1"/>
  <c r="AF70" i="2089"/>
  <c r="AF68" i="2089"/>
  <c r="AF67" i="2089"/>
  <c r="AA29" i="2089"/>
  <c r="Z29" i="2089"/>
  <c r="Y29" i="2089"/>
  <c r="X29" i="2089"/>
  <c r="W29" i="2089"/>
  <c r="V29" i="2089"/>
  <c r="U29" i="2089"/>
  <c r="T29" i="2089"/>
  <c r="S29" i="2089"/>
  <c r="R29" i="2089"/>
  <c r="N29" i="2089"/>
  <c r="J29" i="2089"/>
  <c r="AF28" i="2089"/>
  <c r="AB28" i="2089"/>
  <c r="Q28" i="2089"/>
  <c r="P28" i="2089"/>
  <c r="AC28" i="2089" s="1"/>
  <c r="AD28" i="2089" s="1"/>
  <c r="O28" i="2089"/>
  <c r="M28" i="2089"/>
  <c r="K28" i="2089"/>
  <c r="AF27" i="2089"/>
  <c r="AB27" i="2089"/>
  <c r="Q27" i="2089"/>
  <c r="P27" i="2089"/>
  <c r="AC27" i="2089" s="1"/>
  <c r="AD27" i="2089" s="1"/>
  <c r="O27" i="2089"/>
  <c r="M27" i="2089"/>
  <c r="K27" i="2089"/>
  <c r="AF26" i="2089"/>
  <c r="AB26" i="2089"/>
  <c r="Q26" i="2089"/>
  <c r="P26" i="2089"/>
  <c r="AC26" i="2089" s="1"/>
  <c r="AD26" i="2089" s="1"/>
  <c r="O26" i="2089"/>
  <c r="M26" i="2089"/>
  <c r="K26" i="2089"/>
  <c r="AF25" i="2089"/>
  <c r="AB25" i="2089"/>
  <c r="Q25" i="2089"/>
  <c r="P25" i="2089"/>
  <c r="AC25" i="2089" s="1"/>
  <c r="O25" i="2089"/>
  <c r="M25" i="2089"/>
  <c r="K25" i="2089"/>
  <c r="AF24" i="2089"/>
  <c r="AC24" i="2089"/>
  <c r="AB24" i="2089"/>
  <c r="Q24" i="2089"/>
  <c r="P24" i="2089"/>
  <c r="O24" i="2089"/>
  <c r="M24" i="2089"/>
  <c r="K24" i="2089"/>
  <c r="AF23" i="2089"/>
  <c r="AB23" i="2089"/>
  <c r="Q23" i="2089"/>
  <c r="P23" i="2089"/>
  <c r="AC23" i="2089" s="1"/>
  <c r="O23" i="2089"/>
  <c r="M23" i="2089"/>
  <c r="K23" i="2089"/>
  <c r="AF22" i="2089"/>
  <c r="AB22" i="2089"/>
  <c r="Q22" i="2089"/>
  <c r="P22" i="2089"/>
  <c r="AC22" i="2089" s="1"/>
  <c r="O22" i="2089"/>
  <c r="M22" i="2089"/>
  <c r="AF21" i="2089"/>
  <c r="AB21" i="2089"/>
  <c r="Q21" i="2089"/>
  <c r="P21" i="2089"/>
  <c r="AC21" i="2089" s="1"/>
  <c r="AD21" i="2089" s="1"/>
  <c r="O21" i="2089"/>
  <c r="M21" i="2089"/>
  <c r="AF20" i="2089"/>
  <c r="Q20" i="2089"/>
  <c r="P20" i="2089" s="1"/>
  <c r="AC20" i="2089" s="1"/>
  <c r="AB20" i="2089"/>
  <c r="AF19" i="2089"/>
  <c r="AB19" i="2089"/>
  <c r="Q19" i="2089"/>
  <c r="P19" i="2089"/>
  <c r="AC19" i="2089" s="1"/>
  <c r="AD19" i="2089" s="1"/>
  <c r="O19" i="2089"/>
  <c r="M19" i="2089"/>
  <c r="AF18" i="2089"/>
  <c r="Q18" i="2089"/>
  <c r="O18" i="2089"/>
  <c r="AF17" i="2089"/>
  <c r="Q17" i="2089"/>
  <c r="P17" i="2089" s="1"/>
  <c r="AC17" i="2089" s="1"/>
  <c r="AB17" i="2089"/>
  <c r="AF16" i="2089"/>
  <c r="AB16" i="2089"/>
  <c r="Q16" i="2089"/>
  <c r="P16" i="2089"/>
  <c r="AC16" i="2089" s="1"/>
  <c r="O16" i="2089"/>
  <c r="M16" i="2089"/>
  <c r="K16" i="2089"/>
  <c r="AF15" i="2089"/>
  <c r="AB15" i="2089"/>
  <c r="Q15" i="2089"/>
  <c r="P15" i="2089"/>
  <c r="AC15" i="2089" s="1"/>
  <c r="AD15" i="2089" s="1"/>
  <c r="O15" i="2089"/>
  <c r="M15" i="2089"/>
  <c r="K15" i="2089"/>
  <c r="AF14" i="2089"/>
  <c r="AB14" i="2089"/>
  <c r="Q14" i="2089"/>
  <c r="P14" i="2089"/>
  <c r="AC14" i="2089" s="1"/>
  <c r="O14" i="2089"/>
  <c r="M14" i="2089"/>
  <c r="AF13" i="2089"/>
  <c r="AB13" i="2089"/>
  <c r="Q13" i="2089"/>
  <c r="O13" i="2089"/>
  <c r="M13" i="2089"/>
  <c r="P13" i="2089"/>
  <c r="AC13" i="2089" s="1"/>
  <c r="AD13" i="2089" s="1"/>
  <c r="I13" i="2089"/>
  <c r="I29" i="2089" s="1"/>
  <c r="AF12" i="2089"/>
  <c r="AB12" i="2089"/>
  <c r="Q12" i="2089"/>
  <c r="P12" i="2089" s="1"/>
  <c r="AC12" i="2089" s="1"/>
  <c r="O12" i="2089"/>
  <c r="M12" i="2089"/>
  <c r="AF11" i="2089"/>
  <c r="AB11" i="2089"/>
  <c r="Q11" i="2089"/>
  <c r="P11" i="2089"/>
  <c r="AC11" i="2089" s="1"/>
  <c r="O11" i="2089"/>
  <c r="M11" i="2089"/>
  <c r="AF10" i="2089"/>
  <c r="AB10" i="2089"/>
  <c r="Q10" i="2089"/>
  <c r="O10" i="2089"/>
  <c r="M10" i="2089"/>
  <c r="P10" i="2089"/>
  <c r="AC10" i="2089" s="1"/>
  <c r="AF9" i="2089"/>
  <c r="Q9" i="2089"/>
  <c r="O9" i="2089"/>
  <c r="AF8" i="2089"/>
  <c r="AB8" i="2089"/>
  <c r="Q8" i="2089"/>
  <c r="P8" i="2089" s="1"/>
  <c r="AC8" i="2089" s="1"/>
  <c r="AD8" i="2089" s="1"/>
  <c r="O8" i="2089"/>
  <c r="M8" i="2089"/>
  <c r="AF7" i="2089"/>
  <c r="AB7" i="2089"/>
  <c r="Q7" i="2089"/>
  <c r="O7" i="2089"/>
  <c r="M7" i="2089"/>
  <c r="P7" i="2089"/>
  <c r="AC7" i="2089" s="1"/>
  <c r="AF6" i="2089"/>
  <c r="AB6" i="2089"/>
  <c r="Q6" i="2089"/>
  <c r="P6" i="2089"/>
  <c r="AC6" i="2089" s="1"/>
  <c r="O6" i="2089"/>
  <c r="M6" i="2089"/>
  <c r="K6" i="2089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3" i="2088"/>
  <c r="L21" i="2088"/>
  <c r="K21" i="2088" s="1"/>
  <c r="K20" i="2088"/>
  <c r="L19" i="2088"/>
  <c r="K19" i="2088" s="1"/>
  <c r="L18" i="2088"/>
  <c r="K18" i="2088" s="1"/>
  <c r="L15" i="2088"/>
  <c r="L14" i="2088"/>
  <c r="K13" i="2088"/>
  <c r="AF13" i="2088"/>
  <c r="AB13" i="2088"/>
  <c r="Q13" i="2088"/>
  <c r="P13" i="2088" s="1"/>
  <c r="AC13" i="2088" s="1"/>
  <c r="O13" i="2088"/>
  <c r="M13" i="2088"/>
  <c r="L11" i="2088"/>
  <c r="M11" i="2088" s="1"/>
  <c r="L10" i="2088"/>
  <c r="K10" i="2088" s="1"/>
  <c r="L9" i="2088"/>
  <c r="K9" i="2088" s="1"/>
  <c r="L8" i="2088"/>
  <c r="K8" i="2088" s="1"/>
  <c r="L7" i="2088"/>
  <c r="K7" i="2088" s="1"/>
  <c r="K23" i="2088"/>
  <c r="K15" i="2088"/>
  <c r="K14" i="2088"/>
  <c r="K12" i="2088"/>
  <c r="A85" i="2088"/>
  <c r="A86" i="2088" s="1"/>
  <c r="A87" i="2088" s="1"/>
  <c r="A88" i="2088" s="1"/>
  <c r="A89" i="2088" s="1"/>
  <c r="A90" i="2088" s="1"/>
  <c r="AF69" i="2088"/>
  <c r="AF68" i="2088"/>
  <c r="AF71" i="2088" s="1"/>
  <c r="AA30" i="2088"/>
  <c r="Z30" i="2088"/>
  <c r="Y30" i="2088"/>
  <c r="X30" i="2088"/>
  <c r="W30" i="2088"/>
  <c r="V30" i="2088"/>
  <c r="U30" i="2088"/>
  <c r="T30" i="2088"/>
  <c r="S30" i="2088"/>
  <c r="R30" i="2088"/>
  <c r="N30" i="2088"/>
  <c r="J30" i="2088"/>
  <c r="AF29" i="2088"/>
  <c r="AB29" i="2088"/>
  <c r="Q29" i="2088"/>
  <c r="P29" i="2088"/>
  <c r="AC29" i="2088" s="1"/>
  <c r="AD29" i="2088" s="1"/>
  <c r="O29" i="2088"/>
  <c r="M29" i="2088"/>
  <c r="K29" i="2088"/>
  <c r="AF28" i="2088"/>
  <c r="AB28" i="2088"/>
  <c r="Q28" i="2088"/>
  <c r="P28" i="2088"/>
  <c r="AC28" i="2088" s="1"/>
  <c r="O28" i="2088"/>
  <c r="M28" i="2088"/>
  <c r="K28" i="2088"/>
  <c r="AF27" i="2088"/>
  <c r="AB27" i="2088"/>
  <c r="Q27" i="2088"/>
  <c r="P27" i="2088"/>
  <c r="AC27" i="2088" s="1"/>
  <c r="O27" i="2088"/>
  <c r="M27" i="2088"/>
  <c r="K27" i="2088"/>
  <c r="AF26" i="2088"/>
  <c r="AC26" i="2088"/>
  <c r="AB26" i="2088"/>
  <c r="Q26" i="2088"/>
  <c r="P26" i="2088"/>
  <c r="O26" i="2088"/>
  <c r="M26" i="2088"/>
  <c r="K26" i="2088"/>
  <c r="AF25" i="2088"/>
  <c r="AB25" i="2088"/>
  <c r="Q25" i="2088"/>
  <c r="P25" i="2088"/>
  <c r="AC25" i="2088" s="1"/>
  <c r="O25" i="2088"/>
  <c r="M25" i="2088"/>
  <c r="K25" i="2088"/>
  <c r="AF24" i="2088"/>
  <c r="AB24" i="2088"/>
  <c r="Q24" i="2088"/>
  <c r="P24" i="2088"/>
  <c r="AC24" i="2088" s="1"/>
  <c r="O24" i="2088"/>
  <c r="M24" i="2088"/>
  <c r="K24" i="2088"/>
  <c r="AF23" i="2088"/>
  <c r="Q23" i="2088"/>
  <c r="P23" i="2088"/>
  <c r="AC23" i="2088" s="1"/>
  <c r="AF22" i="2088"/>
  <c r="AB22" i="2088"/>
  <c r="Q22" i="2088"/>
  <c r="P22" i="2088"/>
  <c r="AC22" i="2088" s="1"/>
  <c r="O22" i="2088"/>
  <c r="M22" i="2088"/>
  <c r="K22" i="2088"/>
  <c r="AF21" i="2088"/>
  <c r="AB21" i="2088"/>
  <c r="Q21" i="2088"/>
  <c r="P21" i="2088" s="1"/>
  <c r="AC21" i="2088" s="1"/>
  <c r="O21" i="2088"/>
  <c r="M21" i="2088"/>
  <c r="AF20" i="2088"/>
  <c r="Q20" i="2088"/>
  <c r="P20" i="2088" s="1"/>
  <c r="AC20" i="2088" s="1"/>
  <c r="O20" i="2088"/>
  <c r="AB20" i="2088"/>
  <c r="AF19" i="2088"/>
  <c r="AB19" i="2088"/>
  <c r="Q19" i="2088"/>
  <c r="P19" i="2088"/>
  <c r="AC19" i="2088" s="1"/>
  <c r="O19" i="2088"/>
  <c r="M19" i="2088"/>
  <c r="AF18" i="2088"/>
  <c r="Q18" i="2088"/>
  <c r="P18" i="2088" s="1"/>
  <c r="AC18" i="2088" s="1"/>
  <c r="AF17" i="2088"/>
  <c r="AB17" i="2088"/>
  <c r="Q17" i="2088"/>
  <c r="P17" i="2088"/>
  <c r="AC17" i="2088" s="1"/>
  <c r="O17" i="2088"/>
  <c r="M17" i="2088"/>
  <c r="K17" i="2088"/>
  <c r="AF16" i="2088"/>
  <c r="AB16" i="2088"/>
  <c r="Q16" i="2088"/>
  <c r="M16" i="2088"/>
  <c r="P16" i="2088"/>
  <c r="AC16" i="2088" s="1"/>
  <c r="AF15" i="2088"/>
  <c r="Q15" i="2088"/>
  <c r="P15" i="2088"/>
  <c r="AC15" i="2088" s="1"/>
  <c r="AF14" i="2088"/>
  <c r="Q14" i="2088"/>
  <c r="P14" i="2088"/>
  <c r="AC14" i="2088" s="1"/>
  <c r="O14" i="2088"/>
  <c r="AB14" i="2088"/>
  <c r="I14" i="2088"/>
  <c r="I30" i="2088" s="1"/>
  <c r="AF12" i="2088"/>
  <c r="Q12" i="2088"/>
  <c r="P12" i="2088" s="1"/>
  <c r="AC12" i="2088" s="1"/>
  <c r="O12" i="2088"/>
  <c r="AB12" i="2088"/>
  <c r="AF11" i="2088"/>
  <c r="Q11" i="2088"/>
  <c r="O11" i="2088"/>
  <c r="AF10" i="2088"/>
  <c r="Q10" i="2088"/>
  <c r="M10" i="2088"/>
  <c r="AF9" i="2088"/>
  <c r="AB9" i="2088"/>
  <c r="Q9" i="2088"/>
  <c r="P9" i="2088" s="1"/>
  <c r="AC9" i="2088" s="1"/>
  <c r="O9" i="2088"/>
  <c r="M9" i="2088"/>
  <c r="AF8" i="2088"/>
  <c r="Q8" i="2088"/>
  <c r="AF7" i="2088"/>
  <c r="Q7" i="2088"/>
  <c r="AF6" i="2088"/>
  <c r="AC6" i="2088"/>
  <c r="AB6" i="2088"/>
  <c r="Q6" i="2088"/>
  <c r="P6" i="2088"/>
  <c r="O6" i="2088"/>
  <c r="M6" i="2088"/>
  <c r="K6" i="2088"/>
  <c r="X25" i="16"/>
  <c r="X24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3" i="2087"/>
  <c r="K23" i="2087" s="1"/>
  <c r="L20" i="2087"/>
  <c r="K20" i="2087" s="1"/>
  <c r="L18" i="2087"/>
  <c r="AB18" i="2087" s="1"/>
  <c r="L16" i="2087"/>
  <c r="K16" i="2087"/>
  <c r="L15" i="2087"/>
  <c r="L14" i="2087"/>
  <c r="L13" i="2087"/>
  <c r="K13" i="2087" s="1"/>
  <c r="L12" i="2087"/>
  <c r="AB12" i="2087" s="1"/>
  <c r="L11" i="2087"/>
  <c r="K11" i="2087" s="1"/>
  <c r="AF11" i="2087"/>
  <c r="AB11" i="2087"/>
  <c r="Q11" i="2087"/>
  <c r="P11" i="2087" s="1"/>
  <c r="AC11" i="2087" s="1"/>
  <c r="O11" i="2087"/>
  <c r="K9" i="2087"/>
  <c r="AF9" i="2087"/>
  <c r="Q9" i="2087"/>
  <c r="O9" i="2087"/>
  <c r="AB9" i="2087"/>
  <c r="L8" i="2087"/>
  <c r="M8" i="2087" s="1"/>
  <c r="L7" i="2087"/>
  <c r="K7" i="2087" s="1"/>
  <c r="K21" i="2087"/>
  <c r="K17" i="2087"/>
  <c r="K15" i="2087"/>
  <c r="K14" i="2087"/>
  <c r="K10" i="2087"/>
  <c r="K6" i="2087"/>
  <c r="A85" i="2087"/>
  <c r="A86" i="2087" s="1"/>
  <c r="A87" i="2087" s="1"/>
  <c r="A88" i="2087" s="1"/>
  <c r="A89" i="2087" s="1"/>
  <c r="A90" i="2087" s="1"/>
  <c r="AF69" i="2087"/>
  <c r="AF71" i="2087" s="1"/>
  <c r="AF68" i="2087"/>
  <c r="AA30" i="2087"/>
  <c r="Z30" i="2087"/>
  <c r="Y30" i="2087"/>
  <c r="X30" i="2087"/>
  <c r="W30" i="2087"/>
  <c r="V30" i="2087"/>
  <c r="U30" i="2087"/>
  <c r="T30" i="2087"/>
  <c r="S30" i="2087"/>
  <c r="R30" i="2087"/>
  <c r="N30" i="2087"/>
  <c r="J30" i="2087"/>
  <c r="AF29" i="2087"/>
  <c r="AB29" i="2087"/>
  <c r="Q29" i="2087"/>
  <c r="P29" i="2087"/>
  <c r="AC29" i="2087" s="1"/>
  <c r="O29" i="2087"/>
  <c r="M29" i="2087"/>
  <c r="K29" i="2087"/>
  <c r="AF28" i="2087"/>
  <c r="AB28" i="2087"/>
  <c r="Q28" i="2087"/>
  <c r="P28" i="2087"/>
  <c r="AC28" i="2087" s="1"/>
  <c r="O28" i="2087"/>
  <c r="M28" i="2087"/>
  <c r="K28" i="2087"/>
  <c r="AF27" i="2087"/>
  <c r="AB27" i="2087"/>
  <c r="Q27" i="2087"/>
  <c r="P27" i="2087"/>
  <c r="AC27" i="2087" s="1"/>
  <c r="O27" i="2087"/>
  <c r="M27" i="2087"/>
  <c r="K27" i="2087"/>
  <c r="AF26" i="2087"/>
  <c r="AB26" i="2087"/>
  <c r="Q26" i="2087"/>
  <c r="P26" i="2087"/>
  <c r="AC26" i="2087" s="1"/>
  <c r="O26" i="2087"/>
  <c r="M26" i="2087"/>
  <c r="K26" i="2087"/>
  <c r="AF25" i="2087"/>
  <c r="AB25" i="2087"/>
  <c r="Q25" i="2087"/>
  <c r="P25" i="2087"/>
  <c r="AC25" i="2087" s="1"/>
  <c r="O25" i="2087"/>
  <c r="M25" i="2087"/>
  <c r="K25" i="2087"/>
  <c r="AF24" i="2087"/>
  <c r="AB24" i="2087"/>
  <c r="Q24" i="2087"/>
  <c r="P24" i="2087"/>
  <c r="AC24" i="2087" s="1"/>
  <c r="O24" i="2087"/>
  <c r="M24" i="2087"/>
  <c r="K24" i="2087"/>
  <c r="AF23" i="2087"/>
  <c r="Q23" i="2087"/>
  <c r="P23" i="2087"/>
  <c r="AC23" i="2087" s="1"/>
  <c r="AF22" i="2087"/>
  <c r="AB22" i="2087"/>
  <c r="Q22" i="2087"/>
  <c r="P22" i="2087"/>
  <c r="AC22" i="2087" s="1"/>
  <c r="O22" i="2087"/>
  <c r="M22" i="2087"/>
  <c r="K22" i="2087"/>
  <c r="AF21" i="2087"/>
  <c r="Q21" i="2087"/>
  <c r="O21" i="2087"/>
  <c r="AB21" i="2087"/>
  <c r="AF20" i="2087"/>
  <c r="Q20" i="2087"/>
  <c r="P20" i="2087" s="1"/>
  <c r="AC20" i="2087" s="1"/>
  <c r="AF19" i="2087"/>
  <c r="AB19" i="2087"/>
  <c r="Q19" i="2087"/>
  <c r="P19" i="2087"/>
  <c r="AC19" i="2087" s="1"/>
  <c r="O19" i="2087"/>
  <c r="M19" i="2087"/>
  <c r="K19" i="2087"/>
  <c r="AF18" i="2087"/>
  <c r="Q18" i="2087"/>
  <c r="M18" i="2087"/>
  <c r="AF17" i="2087"/>
  <c r="Q17" i="2087"/>
  <c r="P17" i="2087"/>
  <c r="AC17" i="2087" s="1"/>
  <c r="AF16" i="2087"/>
  <c r="AB16" i="2087"/>
  <c r="Q16" i="2087"/>
  <c r="P16" i="2087"/>
  <c r="AC16" i="2087" s="1"/>
  <c r="O16" i="2087"/>
  <c r="M16" i="2087"/>
  <c r="AF15" i="2087"/>
  <c r="AB15" i="2087"/>
  <c r="Q15" i="2087"/>
  <c r="P15" i="2087"/>
  <c r="AC15" i="2087" s="1"/>
  <c r="M15" i="2087"/>
  <c r="O15" i="2087"/>
  <c r="AF14" i="2087"/>
  <c r="Q14" i="2087"/>
  <c r="P14" i="2087" s="1"/>
  <c r="AC14" i="2087" s="1"/>
  <c r="I14" i="2087"/>
  <c r="I30" i="2087" s="1"/>
  <c r="AF13" i="2087"/>
  <c r="Q13" i="2087"/>
  <c r="P13" i="2087"/>
  <c r="AC13" i="2087" s="1"/>
  <c r="AF12" i="2087"/>
  <c r="Q12" i="2087"/>
  <c r="M12" i="2087"/>
  <c r="AF10" i="2087"/>
  <c r="Q10" i="2087"/>
  <c r="O10" i="2087"/>
  <c r="AB10" i="2087"/>
  <c r="AF8" i="2087"/>
  <c r="Q8" i="2087"/>
  <c r="AF7" i="2087"/>
  <c r="Q7" i="2087"/>
  <c r="M7" i="2087"/>
  <c r="AF6" i="2087"/>
  <c r="Q6" i="2087"/>
  <c r="O6" i="2087"/>
  <c r="AB6" i="2087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2" i="2086"/>
  <c r="K22" i="2086" s="1"/>
  <c r="L20" i="2086"/>
  <c r="K20" i="2086"/>
  <c r="K19" i="2086"/>
  <c r="L19" i="2086"/>
  <c r="AB19" i="2086" s="1"/>
  <c r="AF19" i="2086"/>
  <c r="Q19" i="2086"/>
  <c r="P19" i="2086" s="1"/>
  <c r="AC19" i="2086" s="1"/>
  <c r="O19" i="2086"/>
  <c r="L18" i="2086"/>
  <c r="M18" i="2086" s="1"/>
  <c r="K18" i="2086"/>
  <c r="L16" i="2086"/>
  <c r="AB16" i="2086" s="1"/>
  <c r="L15" i="2086"/>
  <c r="O15" i="2086" s="1"/>
  <c r="L13" i="2086"/>
  <c r="O13" i="2086" s="1"/>
  <c r="L12" i="2086"/>
  <c r="L11" i="2086"/>
  <c r="M11" i="2086" s="1"/>
  <c r="L10" i="2086"/>
  <c r="K10" i="2086" s="1"/>
  <c r="L9" i="2086"/>
  <c r="K9" i="2086" s="1"/>
  <c r="L8" i="2086"/>
  <c r="M8" i="2086" s="1"/>
  <c r="L6" i="2086"/>
  <c r="K6" i="2086" s="1"/>
  <c r="K16" i="2086"/>
  <c r="K14" i="2086"/>
  <c r="K12" i="2086"/>
  <c r="K11" i="2086"/>
  <c r="K7" i="2086"/>
  <c r="A84" i="2086"/>
  <c r="A85" i="2086" s="1"/>
  <c r="A86" i="2086" s="1"/>
  <c r="A87" i="2086" s="1"/>
  <c r="A88" i="2086" s="1"/>
  <c r="A89" i="2086" s="1"/>
  <c r="AF68" i="2086"/>
  <c r="AF70" i="2086" s="1"/>
  <c r="AF67" i="2086"/>
  <c r="AA29" i="2086"/>
  <c r="Z29" i="2086"/>
  <c r="Y29" i="2086"/>
  <c r="X29" i="2086"/>
  <c r="W29" i="2086"/>
  <c r="V29" i="2086"/>
  <c r="U29" i="2086"/>
  <c r="T29" i="2086"/>
  <c r="S29" i="2086"/>
  <c r="R29" i="2086"/>
  <c r="N29" i="2086"/>
  <c r="J29" i="2086"/>
  <c r="AF28" i="2086"/>
  <c r="AB28" i="2086"/>
  <c r="Q28" i="2086"/>
  <c r="P28" i="2086"/>
  <c r="AC28" i="2086" s="1"/>
  <c r="O28" i="2086"/>
  <c r="M28" i="2086"/>
  <c r="K28" i="2086"/>
  <c r="AF27" i="2086"/>
  <c r="AB27" i="2086"/>
  <c r="Q27" i="2086"/>
  <c r="P27" i="2086"/>
  <c r="AC27" i="2086" s="1"/>
  <c r="O27" i="2086"/>
  <c r="M27" i="2086"/>
  <c r="K27" i="2086"/>
  <c r="AF26" i="2086"/>
  <c r="AB26" i="2086"/>
  <c r="Q26" i="2086"/>
  <c r="P26" i="2086"/>
  <c r="AC26" i="2086" s="1"/>
  <c r="O26" i="2086"/>
  <c r="M26" i="2086"/>
  <c r="K26" i="2086"/>
  <c r="AF25" i="2086"/>
  <c r="AB25" i="2086"/>
  <c r="Q25" i="2086"/>
  <c r="P25" i="2086"/>
  <c r="AC25" i="2086" s="1"/>
  <c r="O25" i="2086"/>
  <c r="M25" i="2086"/>
  <c r="K25" i="2086"/>
  <c r="AF24" i="2086"/>
  <c r="AB24" i="2086"/>
  <c r="Q24" i="2086"/>
  <c r="P24" i="2086"/>
  <c r="AC24" i="2086" s="1"/>
  <c r="O24" i="2086"/>
  <c r="M24" i="2086"/>
  <c r="K24" i="2086"/>
  <c r="AF23" i="2086"/>
  <c r="AB23" i="2086"/>
  <c r="Q23" i="2086"/>
  <c r="P23" i="2086"/>
  <c r="AC23" i="2086" s="1"/>
  <c r="O23" i="2086"/>
  <c r="M23" i="2086"/>
  <c r="K23" i="2086"/>
  <c r="AF22" i="2086"/>
  <c r="AB22" i="2086"/>
  <c r="Q22" i="2086"/>
  <c r="P22" i="2086"/>
  <c r="AC22" i="2086" s="1"/>
  <c r="M22" i="2086"/>
  <c r="O22" i="2086"/>
  <c r="AF21" i="2086"/>
  <c r="AB21" i="2086"/>
  <c r="Q21" i="2086"/>
  <c r="P21" i="2086"/>
  <c r="AC21" i="2086" s="1"/>
  <c r="O21" i="2086"/>
  <c r="M21" i="2086"/>
  <c r="K21" i="2086"/>
  <c r="AF20" i="2086"/>
  <c r="Q20" i="2086"/>
  <c r="O20" i="2086"/>
  <c r="AB20" i="2086"/>
  <c r="AF18" i="2086"/>
  <c r="AB18" i="2086"/>
  <c r="Q18" i="2086"/>
  <c r="P18" i="2086" s="1"/>
  <c r="AC18" i="2086" s="1"/>
  <c r="O18" i="2086"/>
  <c r="AF17" i="2086"/>
  <c r="AB17" i="2086"/>
  <c r="Q17" i="2086"/>
  <c r="P17" i="2086"/>
  <c r="AC17" i="2086" s="1"/>
  <c r="O17" i="2086"/>
  <c r="M17" i="2086"/>
  <c r="K17" i="2086"/>
  <c r="AF16" i="2086"/>
  <c r="Q16" i="2086"/>
  <c r="O16" i="2086"/>
  <c r="AF15" i="2086"/>
  <c r="AB15" i="2086"/>
  <c r="Q15" i="2086"/>
  <c r="P15" i="2086"/>
  <c r="AC15" i="2086" s="1"/>
  <c r="M15" i="2086"/>
  <c r="AF14" i="2086"/>
  <c r="AB14" i="2086"/>
  <c r="Q14" i="2086"/>
  <c r="P14" i="2086"/>
  <c r="AC14" i="2086" s="1"/>
  <c r="M14" i="2086"/>
  <c r="O14" i="2086"/>
  <c r="AF13" i="2086"/>
  <c r="Q13" i="2086"/>
  <c r="AF12" i="2086"/>
  <c r="AB12" i="2086"/>
  <c r="Q12" i="2086"/>
  <c r="P12" i="2086" s="1"/>
  <c r="AC12" i="2086" s="1"/>
  <c r="M12" i="2086"/>
  <c r="O12" i="2086"/>
  <c r="I12" i="2086"/>
  <c r="I29" i="2086" s="1"/>
  <c r="AF11" i="2086"/>
  <c r="AB11" i="2086"/>
  <c r="Q11" i="2086"/>
  <c r="P11" i="2086" s="1"/>
  <c r="AC11" i="2086" s="1"/>
  <c r="O11" i="2086"/>
  <c r="AF10" i="2086"/>
  <c r="AB10" i="2086"/>
  <c r="Q10" i="2086"/>
  <c r="P10" i="2086" s="1"/>
  <c r="AC10" i="2086" s="1"/>
  <c r="M10" i="2086"/>
  <c r="O10" i="2086"/>
  <c r="AF9" i="2086"/>
  <c r="Q9" i="2086"/>
  <c r="AF8" i="2086"/>
  <c r="Q8" i="2086"/>
  <c r="P8" i="2086" s="1"/>
  <c r="AC8" i="2086" s="1"/>
  <c r="AF7" i="2086"/>
  <c r="Q7" i="2086"/>
  <c r="O7" i="2086"/>
  <c r="AB7" i="2086"/>
  <c r="AF6" i="2086"/>
  <c r="AB6" i="2086"/>
  <c r="Q6" i="2086"/>
  <c r="M6" i="208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3" i="2085"/>
  <c r="L21" i="2085"/>
  <c r="K21" i="2085" s="1"/>
  <c r="L20" i="2085"/>
  <c r="K20" i="2085" s="1"/>
  <c r="L18" i="2085"/>
  <c r="K18" i="2085" s="1"/>
  <c r="L16" i="2085"/>
  <c r="K16" i="2085" s="1"/>
  <c r="L15" i="2085"/>
  <c r="K15" i="2085" s="1"/>
  <c r="L14" i="2085"/>
  <c r="L13" i="2085"/>
  <c r="K13" i="2085" s="1"/>
  <c r="AF12" i="2085"/>
  <c r="Q12" i="2085"/>
  <c r="O12" i="2085"/>
  <c r="AB12" i="2085"/>
  <c r="L11" i="2085"/>
  <c r="K11" i="2085" s="1"/>
  <c r="AF11" i="2085"/>
  <c r="Q11" i="2085"/>
  <c r="O11" i="2085"/>
  <c r="L10" i="2085"/>
  <c r="K10" i="2085" s="1"/>
  <c r="L9" i="2085"/>
  <c r="AB9" i="2085" s="1"/>
  <c r="K9" i="2085"/>
  <c r="L8" i="2085"/>
  <c r="L7" i="2085"/>
  <c r="K7" i="2085" s="1"/>
  <c r="K6" i="2085"/>
  <c r="K14" i="2085"/>
  <c r="A85" i="2085"/>
  <c r="A86" i="2085" s="1"/>
  <c r="A87" i="2085" s="1"/>
  <c r="A88" i="2085" s="1"/>
  <c r="A89" i="2085" s="1"/>
  <c r="A90" i="2085" s="1"/>
  <c r="AF69" i="2085"/>
  <c r="AF68" i="2085"/>
  <c r="AA30" i="2085"/>
  <c r="Z30" i="2085"/>
  <c r="Y30" i="2085"/>
  <c r="X30" i="2085"/>
  <c r="W30" i="2085"/>
  <c r="V30" i="2085"/>
  <c r="U30" i="2085"/>
  <c r="T30" i="2085"/>
  <c r="S30" i="2085"/>
  <c r="R30" i="2085"/>
  <c r="N30" i="2085"/>
  <c r="J30" i="2085"/>
  <c r="AF29" i="2085"/>
  <c r="AB29" i="2085"/>
  <c r="Q29" i="2085"/>
  <c r="P29" i="2085"/>
  <c r="AC29" i="2085" s="1"/>
  <c r="O29" i="2085"/>
  <c r="M29" i="2085"/>
  <c r="K29" i="2085"/>
  <c r="AF28" i="2085"/>
  <c r="AB28" i="2085"/>
  <c r="Q28" i="2085"/>
  <c r="P28" i="2085"/>
  <c r="AC28" i="2085" s="1"/>
  <c r="O28" i="2085"/>
  <c r="M28" i="2085"/>
  <c r="K28" i="2085"/>
  <c r="AF27" i="2085"/>
  <c r="AB27" i="2085"/>
  <c r="Q27" i="2085"/>
  <c r="P27" i="2085"/>
  <c r="AC27" i="2085" s="1"/>
  <c r="AD27" i="2085" s="1"/>
  <c r="O27" i="2085"/>
  <c r="M27" i="2085"/>
  <c r="K27" i="2085"/>
  <c r="AF26" i="2085"/>
  <c r="AB26" i="2085"/>
  <c r="Q26" i="2085"/>
  <c r="P26" i="2085"/>
  <c r="AC26" i="2085" s="1"/>
  <c r="O26" i="2085"/>
  <c r="M26" i="2085"/>
  <c r="K26" i="2085"/>
  <c r="AF25" i="2085"/>
  <c r="AC25" i="2085"/>
  <c r="AB25" i="2085"/>
  <c r="Q25" i="2085"/>
  <c r="P25" i="2085"/>
  <c r="O25" i="2085"/>
  <c r="M25" i="2085"/>
  <c r="K25" i="2085"/>
  <c r="AF24" i="2085"/>
  <c r="AB24" i="2085"/>
  <c r="Q24" i="2085"/>
  <c r="P24" i="2085"/>
  <c r="AC24" i="2085" s="1"/>
  <c r="O24" i="2085"/>
  <c r="M24" i="2085"/>
  <c r="K24" i="2085"/>
  <c r="AF23" i="2085"/>
  <c r="Q23" i="2085"/>
  <c r="AF22" i="2085"/>
  <c r="AB22" i="2085"/>
  <c r="Q22" i="2085"/>
  <c r="P22" i="2085"/>
  <c r="AC22" i="2085" s="1"/>
  <c r="AD22" i="2085" s="1"/>
  <c r="O22" i="2085"/>
  <c r="M22" i="2085"/>
  <c r="K22" i="2085"/>
  <c r="AF21" i="2085"/>
  <c r="AB21" i="2085"/>
  <c r="Q21" i="2085"/>
  <c r="P21" i="2085" s="1"/>
  <c r="AC21" i="2085" s="1"/>
  <c r="M21" i="2085"/>
  <c r="AF20" i="2085"/>
  <c r="Q20" i="2085"/>
  <c r="AF19" i="2085"/>
  <c r="AB19" i="2085"/>
  <c r="Q19" i="2085"/>
  <c r="P19" i="2085"/>
  <c r="AC19" i="2085" s="1"/>
  <c r="O19" i="2085"/>
  <c r="M19" i="2085"/>
  <c r="K19" i="2085"/>
  <c r="AF18" i="2085"/>
  <c r="AB18" i="2085"/>
  <c r="Q18" i="2085"/>
  <c r="P18" i="2085"/>
  <c r="AC18" i="2085" s="1"/>
  <c r="O18" i="2085"/>
  <c r="M18" i="2085"/>
  <c r="AF17" i="2085"/>
  <c r="AB17" i="2085"/>
  <c r="Q17" i="2085"/>
  <c r="P17" i="2085"/>
  <c r="AC17" i="2085" s="1"/>
  <c r="O17" i="2085"/>
  <c r="M17" i="2085"/>
  <c r="K17" i="2085"/>
  <c r="AF16" i="2085"/>
  <c r="Q16" i="2085"/>
  <c r="P16" i="2085"/>
  <c r="AC16" i="2085" s="1"/>
  <c r="O16" i="2085"/>
  <c r="AB16" i="2085"/>
  <c r="AF15" i="2085"/>
  <c r="Q15" i="2085"/>
  <c r="P15" i="2085"/>
  <c r="AC15" i="2085" s="1"/>
  <c r="AF14" i="2085"/>
  <c r="Q14" i="2085"/>
  <c r="P14" i="2085"/>
  <c r="AC14" i="2085" s="1"/>
  <c r="I14" i="2085"/>
  <c r="I30" i="2085" s="1"/>
  <c r="AF13" i="2085"/>
  <c r="Q13" i="2085"/>
  <c r="P13" i="2085"/>
  <c r="AC13" i="2085" s="1"/>
  <c r="AF10" i="2085"/>
  <c r="Q10" i="2085"/>
  <c r="AF9" i="2085"/>
  <c r="Q9" i="2085"/>
  <c r="P9" i="2085" s="1"/>
  <c r="AC9" i="2085" s="1"/>
  <c r="O9" i="2085"/>
  <c r="AF8" i="2085"/>
  <c r="AB8" i="2085"/>
  <c r="Q8" i="2085"/>
  <c r="AF7" i="2085"/>
  <c r="AB7" i="2085"/>
  <c r="Q7" i="2085"/>
  <c r="AF6" i="2085"/>
  <c r="AB6" i="2085"/>
  <c r="Q6" i="2085"/>
  <c r="O6" i="2085"/>
  <c r="M6" i="2085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2084"/>
  <c r="L18" i="2084"/>
  <c r="P18" i="2084" s="1"/>
  <c r="AC18" i="2084" s="1"/>
  <c r="AF18" i="2084"/>
  <c r="Q18" i="2084"/>
  <c r="M18" i="2084"/>
  <c r="L16" i="2084"/>
  <c r="M16" i="2084" s="1"/>
  <c r="L14" i="2084"/>
  <c r="K14" i="2084" s="1"/>
  <c r="L13" i="2084"/>
  <c r="P13" i="2084" s="1"/>
  <c r="AC13" i="2084" s="1"/>
  <c r="L12" i="2084"/>
  <c r="K12" i="2084" s="1"/>
  <c r="L11" i="2084"/>
  <c r="K11" i="2084" s="1"/>
  <c r="L10" i="2084"/>
  <c r="K10" i="2084" s="1"/>
  <c r="L9" i="2084"/>
  <c r="M9" i="2084" s="1"/>
  <c r="L8" i="2084"/>
  <c r="AF8" i="2084"/>
  <c r="Q8" i="2084"/>
  <c r="O8" i="2084"/>
  <c r="M8" i="2084"/>
  <c r="K8" i="2084"/>
  <c r="K21" i="2084"/>
  <c r="K19" i="2084"/>
  <c r="K13" i="2084"/>
  <c r="K7" i="2084"/>
  <c r="A83" i="2084"/>
  <c r="A84" i="2084" s="1"/>
  <c r="A85" i="2084" s="1"/>
  <c r="A86" i="2084" s="1"/>
  <c r="A87" i="2084" s="1"/>
  <c r="A88" i="2084" s="1"/>
  <c r="AF67" i="2084"/>
  <c r="AF66" i="2084"/>
  <c r="AF69" i="2084" s="1"/>
  <c r="AA28" i="2084"/>
  <c r="Z28" i="2084"/>
  <c r="Y28" i="2084"/>
  <c r="X28" i="2084"/>
  <c r="W28" i="2084"/>
  <c r="V28" i="2084"/>
  <c r="U28" i="2084"/>
  <c r="T28" i="2084"/>
  <c r="S28" i="2084"/>
  <c r="R28" i="2084"/>
  <c r="N28" i="2084"/>
  <c r="J28" i="2084"/>
  <c r="AF27" i="2084"/>
  <c r="AB27" i="2084"/>
  <c r="Q27" i="2084"/>
  <c r="P27" i="2084"/>
  <c r="AC27" i="2084" s="1"/>
  <c r="O27" i="2084"/>
  <c r="M27" i="2084"/>
  <c r="K27" i="2084"/>
  <c r="AF26" i="2084"/>
  <c r="AB26" i="2084"/>
  <c r="Q26" i="2084"/>
  <c r="P26" i="2084"/>
  <c r="AC26" i="2084" s="1"/>
  <c r="O26" i="2084"/>
  <c r="M26" i="2084"/>
  <c r="K26" i="2084"/>
  <c r="AF25" i="2084"/>
  <c r="AB25" i="2084"/>
  <c r="Q25" i="2084"/>
  <c r="P25" i="2084"/>
  <c r="AC25" i="2084" s="1"/>
  <c r="O25" i="2084"/>
  <c r="M25" i="2084"/>
  <c r="K25" i="2084"/>
  <c r="AF24" i="2084"/>
  <c r="AB24" i="2084"/>
  <c r="Q24" i="2084"/>
  <c r="P24" i="2084"/>
  <c r="AC24" i="2084" s="1"/>
  <c r="O24" i="2084"/>
  <c r="M24" i="2084"/>
  <c r="K24" i="2084"/>
  <c r="AF23" i="2084"/>
  <c r="AB23" i="2084"/>
  <c r="Q23" i="2084"/>
  <c r="P23" i="2084"/>
  <c r="AC23" i="2084" s="1"/>
  <c r="O23" i="2084"/>
  <c r="M23" i="2084"/>
  <c r="K23" i="2084"/>
  <c r="AF22" i="2084"/>
  <c r="AC22" i="2084"/>
  <c r="AB22" i="2084"/>
  <c r="Q22" i="2084"/>
  <c r="P22" i="2084"/>
  <c r="O22" i="2084"/>
  <c r="M22" i="2084"/>
  <c r="K22" i="2084"/>
  <c r="AF21" i="2084"/>
  <c r="Q21" i="2084"/>
  <c r="P21" i="2084" s="1"/>
  <c r="AC21" i="2084" s="1"/>
  <c r="AF20" i="2084"/>
  <c r="AB20" i="2084"/>
  <c r="Q20" i="2084"/>
  <c r="P20" i="2084"/>
  <c r="AC20" i="2084" s="1"/>
  <c r="O20" i="2084"/>
  <c r="M20" i="2084"/>
  <c r="K20" i="2084"/>
  <c r="AF19" i="2084"/>
  <c r="AB19" i="2084"/>
  <c r="Q19" i="2084"/>
  <c r="M19" i="2084"/>
  <c r="P19" i="2084"/>
  <c r="AC19" i="2084" s="1"/>
  <c r="AF17" i="2084"/>
  <c r="AB17" i="2084"/>
  <c r="Q17" i="2084"/>
  <c r="P17" i="2084"/>
  <c r="AC17" i="2084" s="1"/>
  <c r="O17" i="2084"/>
  <c r="M17" i="2084"/>
  <c r="K17" i="2084"/>
  <c r="AF16" i="2084"/>
  <c r="Q16" i="2084"/>
  <c r="P16" i="2084"/>
  <c r="AC16" i="2084" s="1"/>
  <c r="AF15" i="2084"/>
  <c r="AB15" i="2084"/>
  <c r="Q15" i="2084"/>
  <c r="P15" i="2084"/>
  <c r="AC15" i="2084" s="1"/>
  <c r="O15" i="2084"/>
  <c r="M15" i="2084"/>
  <c r="K15" i="2084"/>
  <c r="AF14" i="2084"/>
  <c r="AB14" i="2084"/>
  <c r="Q14" i="2084"/>
  <c r="P14" i="2084" s="1"/>
  <c r="AC14" i="2084" s="1"/>
  <c r="O14" i="2084"/>
  <c r="M14" i="2084"/>
  <c r="AF13" i="2084"/>
  <c r="Q13" i="2084"/>
  <c r="AF12" i="2084"/>
  <c r="AB12" i="2084"/>
  <c r="Q12" i="2084"/>
  <c r="P12" i="2084" s="1"/>
  <c r="AC12" i="2084" s="1"/>
  <c r="O12" i="2084"/>
  <c r="M12" i="2084"/>
  <c r="I12" i="2084"/>
  <c r="I28" i="2084" s="1"/>
  <c r="AF11" i="2084"/>
  <c r="AB11" i="2084"/>
  <c r="Q11" i="2084"/>
  <c r="P11" i="2084"/>
  <c r="AC11" i="2084" s="1"/>
  <c r="M11" i="2084"/>
  <c r="AF10" i="2084"/>
  <c r="AB10" i="2084"/>
  <c r="Q10" i="2084"/>
  <c r="O10" i="2084"/>
  <c r="M10" i="2084"/>
  <c r="P10" i="2084"/>
  <c r="AC10" i="2084" s="1"/>
  <c r="AF9" i="2084"/>
  <c r="AB9" i="2084"/>
  <c r="Q9" i="2084"/>
  <c r="AF7" i="2084"/>
  <c r="AB7" i="2084"/>
  <c r="Q7" i="2084"/>
  <c r="P7" i="2084"/>
  <c r="AC7" i="2084" s="1"/>
  <c r="O7" i="2084"/>
  <c r="M7" i="2084"/>
  <c r="L28" i="2084"/>
  <c r="AF6" i="2084"/>
  <c r="AC6" i="2084"/>
  <c r="AB6" i="2084"/>
  <c r="Q6" i="2084"/>
  <c r="P6" i="2084"/>
  <c r="O6" i="2084"/>
  <c r="M6" i="2084"/>
  <c r="K6" i="2084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2083"/>
  <c r="K21" i="2083" s="1"/>
  <c r="L19" i="2083"/>
  <c r="O19" i="2083" s="1"/>
  <c r="L18" i="2083"/>
  <c r="K18" i="2083" s="1"/>
  <c r="L16" i="2083"/>
  <c r="K16" i="2083" s="1"/>
  <c r="L13" i="2083"/>
  <c r="K13" i="2083" s="1"/>
  <c r="L12" i="2083"/>
  <c r="K12" i="2083" s="1"/>
  <c r="L11" i="2083"/>
  <c r="K11" i="2083" s="1"/>
  <c r="L10" i="2083"/>
  <c r="K10" i="2083" s="1"/>
  <c r="L9" i="2083"/>
  <c r="K9" i="2083" s="1"/>
  <c r="L8" i="2083"/>
  <c r="L7" i="2083"/>
  <c r="K7" i="2083"/>
  <c r="K8" i="2083"/>
  <c r="A83" i="2083"/>
  <c r="A84" i="2083" s="1"/>
  <c r="A85" i="2083" s="1"/>
  <c r="A86" i="2083" s="1"/>
  <c r="A87" i="2083" s="1"/>
  <c r="A88" i="2083" s="1"/>
  <c r="AF67" i="2083"/>
  <c r="AF69" i="2083" s="1"/>
  <c r="AF66" i="2083"/>
  <c r="AA28" i="2083"/>
  <c r="Z28" i="2083"/>
  <c r="Y28" i="2083"/>
  <c r="X28" i="2083"/>
  <c r="W28" i="2083"/>
  <c r="V28" i="2083"/>
  <c r="U28" i="2083"/>
  <c r="T28" i="2083"/>
  <c r="S28" i="2083"/>
  <c r="R28" i="2083"/>
  <c r="N28" i="2083"/>
  <c r="J28" i="2083"/>
  <c r="I28" i="2083"/>
  <c r="AF27" i="2083"/>
  <c r="AC27" i="2083"/>
  <c r="AD27" i="2083" s="1"/>
  <c r="AB27" i="2083"/>
  <c r="Q27" i="2083"/>
  <c r="P27" i="2083"/>
  <c r="O27" i="2083"/>
  <c r="M27" i="2083"/>
  <c r="K27" i="2083"/>
  <c r="AF26" i="2083"/>
  <c r="AB26" i="2083"/>
  <c r="Q26" i="2083"/>
  <c r="P26" i="2083"/>
  <c r="AC26" i="2083" s="1"/>
  <c r="AD26" i="2083" s="1"/>
  <c r="O26" i="2083"/>
  <c r="M26" i="2083"/>
  <c r="K26" i="2083"/>
  <c r="AF25" i="2083"/>
  <c r="AC25" i="2083"/>
  <c r="AD25" i="2083" s="1"/>
  <c r="AB25" i="2083"/>
  <c r="Q25" i="2083"/>
  <c r="P25" i="2083"/>
  <c r="O25" i="2083"/>
  <c r="M25" i="2083"/>
  <c r="K25" i="2083"/>
  <c r="AF24" i="2083"/>
  <c r="AB24" i="2083"/>
  <c r="Q24" i="2083"/>
  <c r="P24" i="2083"/>
  <c r="AC24" i="2083" s="1"/>
  <c r="AD24" i="2083" s="1"/>
  <c r="O24" i="2083"/>
  <c r="M24" i="2083"/>
  <c r="K24" i="2083"/>
  <c r="AF23" i="2083"/>
  <c r="AC23" i="2083"/>
  <c r="AD23" i="2083" s="1"/>
  <c r="AB23" i="2083"/>
  <c r="Q23" i="2083"/>
  <c r="P23" i="2083"/>
  <c r="O23" i="2083"/>
  <c r="M23" i="2083"/>
  <c r="K23" i="2083"/>
  <c r="AF22" i="2083"/>
  <c r="AB22" i="2083"/>
  <c r="Q22" i="2083"/>
  <c r="P22" i="2083"/>
  <c r="AC22" i="2083" s="1"/>
  <c r="AD22" i="2083" s="1"/>
  <c r="O22" i="2083"/>
  <c r="M22" i="2083"/>
  <c r="K22" i="2083"/>
  <c r="AF21" i="2083"/>
  <c r="AB21" i="2083"/>
  <c r="Q21" i="2083"/>
  <c r="P21" i="2083" s="1"/>
  <c r="AC21" i="2083" s="1"/>
  <c r="O21" i="2083"/>
  <c r="M21" i="2083"/>
  <c r="AF20" i="2083"/>
  <c r="AB20" i="2083"/>
  <c r="Q20" i="2083"/>
  <c r="P20" i="2083"/>
  <c r="AC20" i="2083" s="1"/>
  <c r="AD20" i="2083" s="1"/>
  <c r="O20" i="2083"/>
  <c r="M20" i="2083"/>
  <c r="K20" i="2083"/>
  <c r="AF19" i="2083"/>
  <c r="Q19" i="2083"/>
  <c r="P19" i="2083" s="1"/>
  <c r="AC19" i="2083" s="1"/>
  <c r="AF18" i="2083"/>
  <c r="Q18" i="2083"/>
  <c r="P18" i="2083"/>
  <c r="AC18" i="2083" s="1"/>
  <c r="AF17" i="2083"/>
  <c r="AB17" i="2083"/>
  <c r="Q17" i="2083"/>
  <c r="P17" i="2083"/>
  <c r="AC17" i="2083" s="1"/>
  <c r="AD17" i="2083" s="1"/>
  <c r="O17" i="2083"/>
  <c r="M17" i="2083"/>
  <c r="K17" i="2083"/>
  <c r="AF16" i="2083"/>
  <c r="AB16" i="2083"/>
  <c r="Q16" i="2083"/>
  <c r="P16" i="2083" s="1"/>
  <c r="AC16" i="2083" s="1"/>
  <c r="O16" i="2083"/>
  <c r="M16" i="2083"/>
  <c r="AF15" i="2083"/>
  <c r="AC15" i="2083"/>
  <c r="AB15" i="2083"/>
  <c r="Q15" i="2083"/>
  <c r="P15" i="2083"/>
  <c r="O15" i="2083"/>
  <c r="M15" i="2083"/>
  <c r="K15" i="2083"/>
  <c r="AF14" i="2083"/>
  <c r="AC14" i="2083"/>
  <c r="AD14" i="2083" s="1"/>
  <c r="AB14" i="2083"/>
  <c r="Q14" i="2083"/>
  <c r="P14" i="2083"/>
  <c r="O14" i="2083"/>
  <c r="M14" i="2083"/>
  <c r="K14" i="2083"/>
  <c r="AF13" i="2083"/>
  <c r="Q13" i="2083"/>
  <c r="P13" i="2083"/>
  <c r="AC13" i="2083" s="1"/>
  <c r="AF12" i="2083"/>
  <c r="Q12" i="2083"/>
  <c r="P12" i="2083"/>
  <c r="AC12" i="2083" s="1"/>
  <c r="O12" i="2083"/>
  <c r="I12" i="2083"/>
  <c r="AF11" i="2083"/>
  <c r="Q11" i="2083"/>
  <c r="P11" i="2083"/>
  <c r="AC11" i="2083" s="1"/>
  <c r="O11" i="2083"/>
  <c r="AF10" i="2083"/>
  <c r="Q10" i="2083"/>
  <c r="P10" i="2083"/>
  <c r="AC10" i="2083" s="1"/>
  <c r="O10" i="2083"/>
  <c r="AB10" i="2083"/>
  <c r="AF9" i="2083"/>
  <c r="AB9" i="2083"/>
  <c r="Q9" i="2083"/>
  <c r="P9" i="2083" s="1"/>
  <c r="AC9" i="2083" s="1"/>
  <c r="O9" i="2083"/>
  <c r="M9" i="2083"/>
  <c r="AF8" i="2083"/>
  <c r="Q8" i="2083"/>
  <c r="P8" i="2083" s="1"/>
  <c r="AC8" i="2083" s="1"/>
  <c r="AF7" i="2083"/>
  <c r="Q7" i="2083"/>
  <c r="O7" i="2083"/>
  <c r="AF6" i="2083"/>
  <c r="AC6" i="2083"/>
  <c r="AB6" i="2083"/>
  <c r="Q6" i="2083"/>
  <c r="P6" i="2083"/>
  <c r="O6" i="2083"/>
  <c r="M6" i="2083"/>
  <c r="K6" i="2083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2082"/>
  <c r="L18" i="2082"/>
  <c r="K18" i="2082"/>
  <c r="L16" i="2082"/>
  <c r="K16" i="2082"/>
  <c r="L13" i="2082"/>
  <c r="L12" i="2082"/>
  <c r="L11" i="2082"/>
  <c r="L10" i="2082"/>
  <c r="K10" i="2082" s="1"/>
  <c r="L9" i="2082"/>
  <c r="L8" i="2082"/>
  <c r="K8" i="2082"/>
  <c r="L7" i="2082"/>
  <c r="Q29" i="2089" l="1"/>
  <c r="AD23" i="2089"/>
  <c r="AD16" i="2089"/>
  <c r="AD22" i="2089"/>
  <c r="AD24" i="2089"/>
  <c r="AD12" i="2089"/>
  <c r="AD14" i="2089"/>
  <c r="AD25" i="2089"/>
  <c r="AD7" i="2089"/>
  <c r="AD10" i="2089"/>
  <c r="AD11" i="2089"/>
  <c r="AD6" i="2089"/>
  <c r="P9" i="2089"/>
  <c r="AC9" i="2089" s="1"/>
  <c r="O17" i="2089"/>
  <c r="AD17" i="2089" s="1"/>
  <c r="P18" i="2089"/>
  <c r="AC18" i="2089" s="1"/>
  <c r="AC29" i="2089" s="1"/>
  <c r="O20" i="2089"/>
  <c r="AD20" i="2089" s="1"/>
  <c r="L29" i="2089"/>
  <c r="O29" i="2089" s="1"/>
  <c r="M9" i="2089"/>
  <c r="AB9" i="2089"/>
  <c r="AB29" i="2089" s="1"/>
  <c r="M18" i="2089"/>
  <c r="AB18" i="2089"/>
  <c r="K29" i="2089"/>
  <c r="M29" i="2089"/>
  <c r="M17" i="2089"/>
  <c r="M20" i="2089"/>
  <c r="AD13" i="2088"/>
  <c r="AD28" i="2088"/>
  <c r="AB10" i="2088"/>
  <c r="AD19" i="2088"/>
  <c r="P10" i="2088"/>
  <c r="AC10" i="2088" s="1"/>
  <c r="K11" i="2088"/>
  <c r="P11" i="2088"/>
  <c r="AC11" i="2088" s="1"/>
  <c r="AB11" i="2088"/>
  <c r="AD26" i="2088"/>
  <c r="AD24" i="2088"/>
  <c r="P8" i="2088"/>
  <c r="AC8" i="2088" s="1"/>
  <c r="AD12" i="2088"/>
  <c r="AD25" i="2088"/>
  <c r="AD27" i="2088"/>
  <c r="AB7" i="2088"/>
  <c r="AD20" i="2088"/>
  <c r="Q30" i="2088"/>
  <c r="P7" i="2088"/>
  <c r="AC7" i="2088" s="1"/>
  <c r="O7" i="2088"/>
  <c r="AD22" i="2088"/>
  <c r="AD9" i="2088"/>
  <c r="AD21" i="2088"/>
  <c r="AD17" i="2088"/>
  <c r="AD14" i="2088"/>
  <c r="AD6" i="2088"/>
  <c r="M8" i="2088"/>
  <c r="AB8" i="2088"/>
  <c r="O10" i="2088"/>
  <c r="M15" i="2088"/>
  <c r="AB15" i="2088"/>
  <c r="O16" i="2088"/>
  <c r="AD16" i="2088" s="1"/>
  <c r="M18" i="2088"/>
  <c r="AB18" i="2088"/>
  <c r="M23" i="2088"/>
  <c r="AB23" i="2088"/>
  <c r="L30" i="2088"/>
  <c r="O30" i="2088" s="1"/>
  <c r="M7" i="2088"/>
  <c r="O8" i="2088"/>
  <c r="M12" i="2088"/>
  <c r="M14" i="2088"/>
  <c r="O15" i="2088"/>
  <c r="K16" i="2088"/>
  <c r="O18" i="2088"/>
  <c r="M20" i="2088"/>
  <c r="O23" i="2088"/>
  <c r="K30" i="2088"/>
  <c r="O23" i="2087"/>
  <c r="AB23" i="2087"/>
  <c r="M23" i="2087"/>
  <c r="O7" i="2087"/>
  <c r="P12" i="2087"/>
  <c r="AC12" i="2087" s="1"/>
  <c r="AD12" i="2087" s="1"/>
  <c r="P7" i="2087"/>
  <c r="AC7" i="2087" s="1"/>
  <c r="AD7" i="2087" s="1"/>
  <c r="AD28" i="2087"/>
  <c r="K12" i="2087"/>
  <c r="AB7" i="2087"/>
  <c r="O12" i="2087"/>
  <c r="P18" i="2087"/>
  <c r="AC18" i="2087" s="1"/>
  <c r="AD18" i="2087" s="1"/>
  <c r="K18" i="2087"/>
  <c r="O18" i="2087"/>
  <c r="AD11" i="2087"/>
  <c r="M11" i="2087"/>
  <c r="O8" i="2087"/>
  <c r="AD27" i="2087"/>
  <c r="P9" i="2087"/>
  <c r="AC9" i="2087" s="1"/>
  <c r="AD9" i="2087" s="1"/>
  <c r="AB8" i="2087"/>
  <c r="AD16" i="2087"/>
  <c r="AD26" i="2087"/>
  <c r="AD25" i="2087"/>
  <c r="AD29" i="2087"/>
  <c r="M9" i="2087"/>
  <c r="P8" i="2087"/>
  <c r="AC8" i="2087" s="1"/>
  <c r="K8" i="2087"/>
  <c r="Q30" i="2087"/>
  <c r="AD24" i="2087"/>
  <c r="AD22" i="2087"/>
  <c r="AD19" i="2087"/>
  <c r="AD15" i="2087"/>
  <c r="AD23" i="2087"/>
  <c r="L30" i="2087"/>
  <c r="O30" i="2087" s="1"/>
  <c r="P6" i="2087"/>
  <c r="P10" i="2087"/>
  <c r="AC10" i="2087" s="1"/>
  <c r="AD10" i="2087" s="1"/>
  <c r="M13" i="2087"/>
  <c r="AB13" i="2087"/>
  <c r="M14" i="2087"/>
  <c r="AB14" i="2087"/>
  <c r="M17" i="2087"/>
  <c r="AB17" i="2087"/>
  <c r="M20" i="2087"/>
  <c r="AB20" i="2087"/>
  <c r="P21" i="2087"/>
  <c r="AC21" i="2087" s="1"/>
  <c r="AD21" i="2087" s="1"/>
  <c r="O13" i="2087"/>
  <c r="O14" i="2087"/>
  <c r="O17" i="2087"/>
  <c r="O20" i="2087"/>
  <c r="M6" i="2087"/>
  <c r="M10" i="2087"/>
  <c r="M21" i="2087"/>
  <c r="AD19" i="2086"/>
  <c r="M19" i="2086"/>
  <c r="AB13" i="2086"/>
  <c r="AD26" i="2086"/>
  <c r="K13" i="2086"/>
  <c r="K15" i="2086"/>
  <c r="K29" i="2086" s="1"/>
  <c r="AD15" i="2086"/>
  <c r="AB8" i="2086"/>
  <c r="AD25" i="2086"/>
  <c r="O8" i="2086"/>
  <c r="AD24" i="2086"/>
  <c r="AD28" i="2086"/>
  <c r="K8" i="2086"/>
  <c r="AD21" i="2086"/>
  <c r="P9" i="2086"/>
  <c r="AC9" i="2086" s="1"/>
  <c r="AD23" i="2086"/>
  <c r="AD27" i="2086"/>
  <c r="Q29" i="2086"/>
  <c r="O6" i="2086"/>
  <c r="P6" i="2086"/>
  <c r="AC6" i="2086" s="1"/>
  <c r="AD17" i="2086"/>
  <c r="AD18" i="2086"/>
  <c r="AD10" i="2086"/>
  <c r="AD14" i="2086"/>
  <c r="AD11" i="2086"/>
  <c r="AD12" i="2086"/>
  <c r="AD22" i="2086"/>
  <c r="L29" i="2086"/>
  <c r="O29" i="2086" s="1"/>
  <c r="P7" i="2086"/>
  <c r="M9" i="2086"/>
  <c r="AB9" i="2086"/>
  <c r="P13" i="2086"/>
  <c r="AC13" i="2086" s="1"/>
  <c r="AD13" i="2086" s="1"/>
  <c r="P16" i="2086"/>
  <c r="AC16" i="2086" s="1"/>
  <c r="AD16" i="2086" s="1"/>
  <c r="P20" i="2086"/>
  <c r="AC20" i="2086" s="1"/>
  <c r="AD20" i="2086" s="1"/>
  <c r="O9" i="2086"/>
  <c r="M7" i="2086"/>
  <c r="M13" i="2086"/>
  <c r="M16" i="2086"/>
  <c r="M20" i="2086"/>
  <c r="P23" i="2085"/>
  <c r="AC23" i="2085" s="1"/>
  <c r="M23" i="2085"/>
  <c r="AB23" i="2085"/>
  <c r="O23" i="2085"/>
  <c r="K23" i="2085"/>
  <c r="O21" i="2085"/>
  <c r="AD21" i="2085" s="1"/>
  <c r="P20" i="2085"/>
  <c r="AC20" i="2085" s="1"/>
  <c r="M15" i="2085"/>
  <c r="AB15" i="2085"/>
  <c r="AD15" i="2085" s="1"/>
  <c r="O15" i="2085"/>
  <c r="P11" i="2085"/>
  <c r="AC11" i="2085" s="1"/>
  <c r="K12" i="2085"/>
  <c r="P12" i="2085"/>
  <c r="AC12" i="2085" s="1"/>
  <c r="AD12" i="2085" s="1"/>
  <c r="AD17" i="2085"/>
  <c r="AD28" i="2085"/>
  <c r="AB11" i="2085"/>
  <c r="M12" i="2085"/>
  <c r="AD11" i="2085"/>
  <c r="AD25" i="2085"/>
  <c r="M7" i="2085"/>
  <c r="AD26" i="2085"/>
  <c r="AF71" i="2085"/>
  <c r="L30" i="2085"/>
  <c r="O30" i="2085" s="1"/>
  <c r="O7" i="2085"/>
  <c r="M8" i="2085"/>
  <c r="O10" i="2085"/>
  <c r="AD19" i="2085"/>
  <c r="AD24" i="2085"/>
  <c r="AD29" i="2085"/>
  <c r="P7" i="2085"/>
  <c r="AC7" i="2085" s="1"/>
  <c r="AD7" i="2085" s="1"/>
  <c r="O8" i="2085"/>
  <c r="P10" i="2085"/>
  <c r="AC10" i="2085" s="1"/>
  <c r="AD18" i="2085"/>
  <c r="M11" i="2085"/>
  <c r="P8" i="2085"/>
  <c r="AC8" i="2085" s="1"/>
  <c r="AD8" i="2085" s="1"/>
  <c r="K8" i="2085"/>
  <c r="Q30" i="2085"/>
  <c r="P6" i="2085"/>
  <c r="AC6" i="2085" s="1"/>
  <c r="AD6" i="2085" s="1"/>
  <c r="AD9" i="2085"/>
  <c r="AD16" i="2085"/>
  <c r="AB13" i="2085"/>
  <c r="M14" i="2085"/>
  <c r="AB14" i="2085"/>
  <c r="M20" i="2085"/>
  <c r="AB20" i="2085"/>
  <c r="M13" i="2085"/>
  <c r="M10" i="2085"/>
  <c r="AB10" i="2085"/>
  <c r="O13" i="2085"/>
  <c r="AD13" i="2085" s="1"/>
  <c r="O14" i="2085"/>
  <c r="O20" i="2085"/>
  <c r="M9" i="2085"/>
  <c r="M16" i="2085"/>
  <c r="AD27" i="2084"/>
  <c r="AB16" i="2084"/>
  <c r="K16" i="2084"/>
  <c r="K18" i="2084"/>
  <c r="O11" i="2084"/>
  <c r="O18" i="2084"/>
  <c r="AB18" i="2084"/>
  <c r="AD18" i="2084" s="1"/>
  <c r="O28" i="2084"/>
  <c r="P9" i="2084"/>
  <c r="AC9" i="2084" s="1"/>
  <c r="K9" i="2084"/>
  <c r="P8" i="2084"/>
  <c r="AC8" i="2084" s="1"/>
  <c r="AB8" i="2084"/>
  <c r="AD8" i="2084" s="1"/>
  <c r="AD24" i="2084"/>
  <c r="AD7" i="2084"/>
  <c r="AD10" i="2084"/>
  <c r="AD11" i="2084"/>
  <c r="AD15" i="2084"/>
  <c r="AD17" i="2084"/>
  <c r="AD22" i="2084"/>
  <c r="AD25" i="2084"/>
  <c r="AD20" i="2084"/>
  <c r="AD26" i="2084"/>
  <c r="Q28" i="2084"/>
  <c r="AD14" i="2084"/>
  <c r="AD23" i="2084"/>
  <c r="AD12" i="2084"/>
  <c r="AC28" i="2084"/>
  <c r="P28" i="2084"/>
  <c r="AD6" i="2084"/>
  <c r="O9" i="2084"/>
  <c r="AD9" i="2084" s="1"/>
  <c r="M13" i="2084"/>
  <c r="AB13" i="2084"/>
  <c r="O16" i="2084"/>
  <c r="AD16" i="2084" s="1"/>
  <c r="O19" i="2084"/>
  <c r="AD19" i="2084" s="1"/>
  <c r="M21" i="2084"/>
  <c r="AB21" i="2084"/>
  <c r="O13" i="2084"/>
  <c r="O21" i="2084"/>
  <c r="AD21" i="2083"/>
  <c r="M19" i="2083"/>
  <c r="AB19" i="2083"/>
  <c r="AD19" i="2083" s="1"/>
  <c r="K19" i="2083"/>
  <c r="AD16" i="2083"/>
  <c r="AD9" i="2083"/>
  <c r="Q28" i="2083"/>
  <c r="P7" i="2083"/>
  <c r="AC7" i="2083" s="1"/>
  <c r="AD15" i="2083"/>
  <c r="AC28" i="2083"/>
  <c r="AD10" i="2083"/>
  <c r="L28" i="2083"/>
  <c r="O28" i="2083" s="1"/>
  <c r="AD6" i="2083"/>
  <c r="M8" i="2083"/>
  <c r="AB8" i="2083"/>
  <c r="M13" i="2083"/>
  <c r="AB13" i="2083"/>
  <c r="M18" i="2083"/>
  <c r="AB18" i="2083"/>
  <c r="AB11" i="2083"/>
  <c r="AD11" i="2083" s="1"/>
  <c r="M12" i="2083"/>
  <c r="O13" i="2083"/>
  <c r="O18" i="2083"/>
  <c r="M7" i="2083"/>
  <c r="AB7" i="2083"/>
  <c r="O8" i="2083"/>
  <c r="M11" i="2083"/>
  <c r="AB12" i="2083"/>
  <c r="AD12" i="2083" s="1"/>
  <c r="K28" i="2083"/>
  <c r="M10" i="2083"/>
  <c r="P29" i="2089" l="1"/>
  <c r="AD9" i="2089"/>
  <c r="AD18" i="2089"/>
  <c r="AD10" i="2088"/>
  <c r="AD11" i="2088"/>
  <c r="AC30" i="2088"/>
  <c r="AD18" i="2088"/>
  <c r="M30" i="2088"/>
  <c r="P30" i="2088"/>
  <c r="AD7" i="2088"/>
  <c r="AD23" i="2088"/>
  <c r="AD8" i="2088"/>
  <c r="AD15" i="2088"/>
  <c r="AB30" i="2088"/>
  <c r="AD14" i="2087"/>
  <c r="AD8" i="2087"/>
  <c r="AD17" i="2087"/>
  <c r="AD20" i="2087"/>
  <c r="AB30" i="2087"/>
  <c r="AC6" i="2087"/>
  <c r="P30" i="2087"/>
  <c r="AD13" i="2087"/>
  <c r="M30" i="2087"/>
  <c r="K30" i="2087"/>
  <c r="AD8" i="2086"/>
  <c r="AD6" i="2086"/>
  <c r="AD9" i="2086"/>
  <c r="M29" i="2086"/>
  <c r="AB29" i="2086"/>
  <c r="P29" i="2086"/>
  <c r="AC7" i="2086"/>
  <c r="AD23" i="2085"/>
  <c r="K30" i="2085"/>
  <c r="AB30" i="2085"/>
  <c r="AD10" i="2085"/>
  <c r="AC30" i="2085"/>
  <c r="P30" i="2085"/>
  <c r="AD20" i="2085"/>
  <c r="M30" i="2085"/>
  <c r="AD14" i="2085"/>
  <c r="K28" i="2084"/>
  <c r="AD13" i="2084"/>
  <c r="AD21" i="2084"/>
  <c r="AD28" i="2084" s="1"/>
  <c r="M28" i="2084"/>
  <c r="AB28" i="2084"/>
  <c r="AD13" i="2083"/>
  <c r="P28" i="2083"/>
  <c r="AD18" i="2083"/>
  <c r="AD8" i="2083"/>
  <c r="AB28" i="2083"/>
  <c r="M28" i="2083"/>
  <c r="AD7" i="2083"/>
  <c r="AD29" i="2089" l="1"/>
  <c r="AE28" i="2089" s="1"/>
  <c r="AD30" i="2088"/>
  <c r="AC30" i="2087"/>
  <c r="AD6" i="2087"/>
  <c r="AD30" i="2087" s="1"/>
  <c r="AD7" i="2086"/>
  <c r="AD29" i="2086" s="1"/>
  <c r="AE19" i="2086" s="1"/>
  <c r="AC29" i="2086"/>
  <c r="AD30" i="2085"/>
  <c r="AE27" i="2085" s="1"/>
  <c r="AE8" i="2084"/>
  <c r="AE18" i="2084"/>
  <c r="AE27" i="2084"/>
  <c r="AE21" i="2084"/>
  <c r="AE13" i="2084"/>
  <c r="AE19" i="2084"/>
  <c r="AE16" i="2084"/>
  <c r="AE9" i="2084"/>
  <c r="AE15" i="2084"/>
  <c r="AE26" i="2084"/>
  <c r="AE24" i="2084"/>
  <c r="AE22" i="2084"/>
  <c r="AE14" i="2084"/>
  <c r="AE10" i="2084"/>
  <c r="AE6" i="2084"/>
  <c r="AE20" i="2084"/>
  <c r="AE17" i="2084"/>
  <c r="AE12" i="2084"/>
  <c r="AE11" i="2084"/>
  <c r="AE7" i="2084"/>
  <c r="AE25" i="2084"/>
  <c r="AE23" i="2084"/>
  <c r="AD28" i="2083"/>
  <c r="AE27" i="2083" s="1"/>
  <c r="AE10" i="2089" l="1"/>
  <c r="AE21" i="2089"/>
  <c r="AE6" i="2089"/>
  <c r="AE23" i="2089"/>
  <c r="AE11" i="2089"/>
  <c r="AE7" i="2089"/>
  <c r="AE18" i="2089"/>
  <c r="AE8" i="2089"/>
  <c r="AE22" i="2089"/>
  <c r="AE24" i="2089"/>
  <c r="AE12" i="2089"/>
  <c r="AE9" i="2089"/>
  <c r="AE25" i="2089"/>
  <c r="AE17" i="2089"/>
  <c r="AE16" i="2089"/>
  <c r="AE26" i="2089"/>
  <c r="AE14" i="2089"/>
  <c r="AE13" i="2089"/>
  <c r="AE15" i="2089"/>
  <c r="AE27" i="2089"/>
  <c r="AE20" i="2089"/>
  <c r="AE19" i="2089"/>
  <c r="AE29" i="2088"/>
  <c r="AE13" i="2088"/>
  <c r="AE17" i="2088"/>
  <c r="AE11" i="2088"/>
  <c r="AE10" i="2088"/>
  <c r="AE7" i="2088"/>
  <c r="AE20" i="2088"/>
  <c r="AE19" i="2088"/>
  <c r="AE21" i="2088"/>
  <c r="AE14" i="2088"/>
  <c r="AE9" i="2088"/>
  <c r="AE28" i="2088"/>
  <c r="AE12" i="2088"/>
  <c r="AE22" i="2088"/>
  <c r="AE26" i="2088"/>
  <c r="AE15" i="2088"/>
  <c r="AE8" i="2088"/>
  <c r="AE23" i="2088"/>
  <c r="AE25" i="2088"/>
  <c r="AE27" i="2088"/>
  <c r="AE6" i="2088"/>
  <c r="AE24" i="2088"/>
  <c r="AE16" i="2088"/>
  <c r="AE18" i="2088"/>
  <c r="AE9" i="2087"/>
  <c r="AE11" i="2087"/>
  <c r="AE29" i="2087"/>
  <c r="AE27" i="2087"/>
  <c r="AE25" i="2087"/>
  <c r="AE23" i="2087"/>
  <c r="AE18" i="2087"/>
  <c r="AE15" i="2087"/>
  <c r="AE8" i="2087"/>
  <c r="AE20" i="2087"/>
  <c r="AE21" i="2087"/>
  <c r="AE10" i="2087"/>
  <c r="AE6" i="2087"/>
  <c r="AE17" i="2087"/>
  <c r="AE14" i="2087"/>
  <c r="AE28" i="2087"/>
  <c r="AE26" i="2087"/>
  <c r="AE24" i="2087"/>
  <c r="AE19" i="2087"/>
  <c r="AE16" i="2087"/>
  <c r="AE12" i="2087"/>
  <c r="AE22" i="2087"/>
  <c r="AE13" i="2087"/>
  <c r="AE7" i="2087"/>
  <c r="AE28" i="2086"/>
  <c r="AE26" i="2086"/>
  <c r="AE24" i="2086"/>
  <c r="AE22" i="2086"/>
  <c r="AE18" i="2086"/>
  <c r="AE15" i="2086"/>
  <c r="AE12" i="2086"/>
  <c r="AE11" i="2086"/>
  <c r="AE10" i="2086"/>
  <c r="AE6" i="2086"/>
  <c r="AE20" i="2086"/>
  <c r="AE16" i="2086"/>
  <c r="AE13" i="2086"/>
  <c r="AE7" i="2086"/>
  <c r="AE21" i="2086"/>
  <c r="AE27" i="2086"/>
  <c r="AE25" i="2086"/>
  <c r="AE23" i="2086"/>
  <c r="AE14" i="2086"/>
  <c r="AE8" i="2086"/>
  <c r="AE17" i="2086"/>
  <c r="AE9" i="2086"/>
  <c r="AE7" i="2085"/>
  <c r="AE20" i="2085"/>
  <c r="AE26" i="2085"/>
  <c r="AE9" i="2085"/>
  <c r="AE15" i="2085"/>
  <c r="AE29" i="2085"/>
  <c r="AE13" i="2085"/>
  <c r="AE22" i="2085"/>
  <c r="AE28" i="2085"/>
  <c r="AE16" i="2085"/>
  <c r="AE18" i="2085"/>
  <c r="AE14" i="2085"/>
  <c r="AE19" i="2085"/>
  <c r="AE10" i="2085"/>
  <c r="AE21" i="2085"/>
  <c r="AE23" i="2085"/>
  <c r="AE17" i="2085"/>
  <c r="AE24" i="2085"/>
  <c r="AE6" i="2085"/>
  <c r="AE8" i="2085"/>
  <c r="AE25" i="2085"/>
  <c r="AE11" i="2085"/>
  <c r="AE12" i="2085"/>
  <c r="AE11" i="2083"/>
  <c r="AE24" i="2083"/>
  <c r="AE26" i="2083"/>
  <c r="AE16" i="2083"/>
  <c r="AE13" i="2083"/>
  <c r="AE22" i="2083"/>
  <c r="AE8" i="2083"/>
  <c r="AE15" i="2083"/>
  <c r="AE12" i="2083"/>
  <c r="AE10" i="2083"/>
  <c r="AE18" i="2083"/>
  <c r="AE17" i="2083"/>
  <c r="AE7" i="2083"/>
  <c r="AE20" i="2083"/>
  <c r="AE14" i="2083"/>
  <c r="AE25" i="2083"/>
  <c r="AE19" i="2083"/>
  <c r="AE21" i="2083"/>
  <c r="AE6" i="2083"/>
  <c r="AE9" i="2083"/>
  <c r="AE23" i="2083"/>
  <c r="K19" i="2082"/>
  <c r="K14" i="2082"/>
  <c r="K13" i="2082"/>
  <c r="K12" i="2082"/>
  <c r="K11" i="2082"/>
  <c r="K9" i="2082"/>
  <c r="K7" i="2082"/>
  <c r="A83" i="2082"/>
  <c r="A84" i="2082" s="1"/>
  <c r="A85" i="2082" s="1"/>
  <c r="A86" i="2082" s="1"/>
  <c r="A87" i="2082" s="1"/>
  <c r="A88" i="2082" s="1"/>
  <c r="AF67" i="2082"/>
  <c r="AF69" i="2082" s="1"/>
  <c r="AF66" i="2082"/>
  <c r="AA28" i="2082"/>
  <c r="Z28" i="2082"/>
  <c r="Y28" i="2082"/>
  <c r="X28" i="2082"/>
  <c r="W28" i="2082"/>
  <c r="V28" i="2082"/>
  <c r="U28" i="2082"/>
  <c r="T28" i="2082"/>
  <c r="S28" i="2082"/>
  <c r="R28" i="2082"/>
  <c r="N28" i="2082"/>
  <c r="J28" i="2082"/>
  <c r="AF27" i="2082"/>
  <c r="AB27" i="2082"/>
  <c r="Q27" i="2082"/>
  <c r="P27" i="2082"/>
  <c r="AC27" i="2082" s="1"/>
  <c r="AD27" i="2082" s="1"/>
  <c r="O27" i="2082"/>
  <c r="M27" i="2082"/>
  <c r="K27" i="2082"/>
  <c r="AF26" i="2082"/>
  <c r="AB26" i="2082"/>
  <c r="Q26" i="2082"/>
  <c r="P26" i="2082"/>
  <c r="AC26" i="2082" s="1"/>
  <c r="O26" i="2082"/>
  <c r="M26" i="2082"/>
  <c r="K26" i="2082"/>
  <c r="AF25" i="2082"/>
  <c r="AB25" i="2082"/>
  <c r="Q25" i="2082"/>
  <c r="P25" i="2082"/>
  <c r="AC25" i="2082" s="1"/>
  <c r="O25" i="2082"/>
  <c r="M25" i="2082"/>
  <c r="K25" i="2082"/>
  <c r="AF24" i="2082"/>
  <c r="AB24" i="2082"/>
  <c r="Q24" i="2082"/>
  <c r="P24" i="2082"/>
  <c r="AC24" i="2082" s="1"/>
  <c r="O24" i="2082"/>
  <c r="M24" i="2082"/>
  <c r="K24" i="2082"/>
  <c r="AF23" i="2082"/>
  <c r="AB23" i="2082"/>
  <c r="Q23" i="2082"/>
  <c r="P23" i="2082"/>
  <c r="AC23" i="2082" s="1"/>
  <c r="AD23" i="2082" s="1"/>
  <c r="O23" i="2082"/>
  <c r="M23" i="2082"/>
  <c r="K23" i="2082"/>
  <c r="AF22" i="2082"/>
  <c r="AB22" i="2082"/>
  <c r="Q22" i="2082"/>
  <c r="P22" i="2082"/>
  <c r="AC22" i="2082" s="1"/>
  <c r="O22" i="2082"/>
  <c r="M22" i="2082"/>
  <c r="K22" i="2082"/>
  <c r="AF21" i="2082"/>
  <c r="AB21" i="2082"/>
  <c r="Q21" i="2082"/>
  <c r="P21" i="2082"/>
  <c r="AC21" i="2082" s="1"/>
  <c r="O21" i="2082"/>
  <c r="M21" i="2082"/>
  <c r="K21" i="2082"/>
  <c r="AF20" i="2082"/>
  <c r="AB20" i="2082"/>
  <c r="Q20" i="2082"/>
  <c r="P20" i="2082"/>
  <c r="AC20" i="2082" s="1"/>
  <c r="O20" i="2082"/>
  <c r="M20" i="2082"/>
  <c r="K20" i="2082"/>
  <c r="AF19" i="2082"/>
  <c r="AB19" i="2082"/>
  <c r="Q19" i="2082"/>
  <c r="P19" i="2082" s="1"/>
  <c r="AC19" i="2082" s="1"/>
  <c r="O19" i="2082"/>
  <c r="M19" i="2082"/>
  <c r="AF18" i="2082"/>
  <c r="AB18" i="2082"/>
  <c r="Q18" i="2082"/>
  <c r="P18" i="2082" s="1"/>
  <c r="AC18" i="2082" s="1"/>
  <c r="O18" i="2082"/>
  <c r="M18" i="2082"/>
  <c r="AF17" i="2082"/>
  <c r="AB17" i="2082"/>
  <c r="Q17" i="2082"/>
  <c r="P17" i="2082"/>
  <c r="AC17" i="2082" s="1"/>
  <c r="O17" i="2082"/>
  <c r="M17" i="2082"/>
  <c r="K17" i="2082"/>
  <c r="AF16" i="2082"/>
  <c r="Q16" i="2082"/>
  <c r="P16" i="2082"/>
  <c r="AC16" i="2082" s="1"/>
  <c r="AF15" i="2082"/>
  <c r="AB15" i="2082"/>
  <c r="Q15" i="2082"/>
  <c r="P15" i="2082"/>
  <c r="AC15" i="2082" s="1"/>
  <c r="O15" i="2082"/>
  <c r="M15" i="2082"/>
  <c r="K15" i="2082"/>
  <c r="AF14" i="2082"/>
  <c r="AB14" i="2082"/>
  <c r="Q14" i="2082"/>
  <c r="P14" i="2082"/>
  <c r="AC14" i="2082" s="1"/>
  <c r="O14" i="2082"/>
  <c r="M14" i="2082"/>
  <c r="AF13" i="2082"/>
  <c r="AB13" i="2082"/>
  <c r="Q13" i="2082"/>
  <c r="P13" i="2082"/>
  <c r="AC13" i="2082" s="1"/>
  <c r="O13" i="2082"/>
  <c r="M13" i="2082"/>
  <c r="AF12" i="2082"/>
  <c r="Q12" i="2082"/>
  <c r="P12" i="2082"/>
  <c r="AC12" i="2082" s="1"/>
  <c r="I12" i="2082"/>
  <c r="I28" i="2082" s="1"/>
  <c r="AF11" i="2082"/>
  <c r="Q11" i="2082"/>
  <c r="P11" i="2082" s="1"/>
  <c r="AC11" i="2082" s="1"/>
  <c r="AF10" i="2082"/>
  <c r="AB10" i="2082"/>
  <c r="Q10" i="2082"/>
  <c r="P10" i="2082" s="1"/>
  <c r="AC10" i="2082" s="1"/>
  <c r="O10" i="2082"/>
  <c r="M10" i="2082"/>
  <c r="AF9" i="2082"/>
  <c r="AB9" i="2082"/>
  <c r="Q9" i="2082"/>
  <c r="P9" i="2082"/>
  <c r="AC9" i="2082" s="1"/>
  <c r="O9" i="2082"/>
  <c r="M9" i="2082"/>
  <c r="AF8" i="2082"/>
  <c r="Q8" i="2082"/>
  <c r="P8" i="2082" s="1"/>
  <c r="AC8" i="2082" s="1"/>
  <c r="AF7" i="2082"/>
  <c r="AB7" i="2082"/>
  <c r="Q7" i="2082"/>
  <c r="P7" i="2082" s="1"/>
  <c r="AC7" i="2082" s="1"/>
  <c r="M7" i="2082"/>
  <c r="O7" i="2082"/>
  <c r="AF6" i="2082"/>
  <c r="AC6" i="2082"/>
  <c r="AB6" i="2082"/>
  <c r="Q6" i="2082"/>
  <c r="P6" i="2082"/>
  <c r="O6" i="2082"/>
  <c r="M6" i="2082"/>
  <c r="K6" i="2082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0" i="2081"/>
  <c r="AB20" i="2081" s="1"/>
  <c r="K19" i="2081"/>
  <c r="L17" i="2081"/>
  <c r="M17" i="2081" s="1"/>
  <c r="AF14" i="2081"/>
  <c r="AB14" i="2081"/>
  <c r="Q14" i="2081"/>
  <c r="P14" i="2081" s="1"/>
  <c r="AC14" i="2081" s="1"/>
  <c r="AD14" i="2081" s="1"/>
  <c r="O14" i="2081"/>
  <c r="M14" i="2081"/>
  <c r="K14" i="2081"/>
  <c r="L13" i="2081"/>
  <c r="AB13" i="2081" s="1"/>
  <c r="L12" i="2081"/>
  <c r="K12" i="2081" s="1"/>
  <c r="L11" i="2081"/>
  <c r="K11" i="2081" s="1"/>
  <c r="L9" i="2081"/>
  <c r="K9" i="2081" s="1"/>
  <c r="L8" i="2081"/>
  <c r="K8" i="2081"/>
  <c r="L7" i="2081"/>
  <c r="O7" i="2081" s="1"/>
  <c r="K22" i="2081"/>
  <c r="K20" i="2081"/>
  <c r="K18" i="2081"/>
  <c r="K17" i="2081"/>
  <c r="K10" i="2081"/>
  <c r="A84" i="2081"/>
  <c r="A85" i="2081" s="1"/>
  <c r="A86" i="2081" s="1"/>
  <c r="A87" i="2081" s="1"/>
  <c r="A88" i="2081" s="1"/>
  <c r="A89" i="2081" s="1"/>
  <c r="AF68" i="2081"/>
  <c r="AF67" i="2081"/>
  <c r="AA29" i="2081"/>
  <c r="Z29" i="2081"/>
  <c r="Y29" i="2081"/>
  <c r="X29" i="2081"/>
  <c r="W29" i="2081"/>
  <c r="V29" i="2081"/>
  <c r="U29" i="2081"/>
  <c r="T29" i="2081"/>
  <c r="S29" i="2081"/>
  <c r="R29" i="2081"/>
  <c r="N29" i="2081"/>
  <c r="J29" i="2081"/>
  <c r="AF28" i="2081"/>
  <c r="AB28" i="2081"/>
  <c r="Q28" i="2081"/>
  <c r="P28" i="2081"/>
  <c r="AC28" i="2081" s="1"/>
  <c r="O28" i="2081"/>
  <c r="M28" i="2081"/>
  <c r="K28" i="2081"/>
  <c r="AF27" i="2081"/>
  <c r="AB27" i="2081"/>
  <c r="Q27" i="2081"/>
  <c r="P27" i="2081"/>
  <c r="AC27" i="2081" s="1"/>
  <c r="O27" i="2081"/>
  <c r="M27" i="2081"/>
  <c r="K27" i="2081"/>
  <c r="AF26" i="2081"/>
  <c r="AB26" i="2081"/>
  <c r="Q26" i="2081"/>
  <c r="P26" i="2081"/>
  <c r="AC26" i="2081" s="1"/>
  <c r="O26" i="2081"/>
  <c r="M26" i="2081"/>
  <c r="K26" i="2081"/>
  <c r="AF25" i="2081"/>
  <c r="AB25" i="2081"/>
  <c r="Q25" i="2081"/>
  <c r="P25" i="2081"/>
  <c r="AC25" i="2081" s="1"/>
  <c r="O25" i="2081"/>
  <c r="M25" i="2081"/>
  <c r="K25" i="2081"/>
  <c r="AF24" i="2081"/>
  <c r="AB24" i="2081"/>
  <c r="Q24" i="2081"/>
  <c r="P24" i="2081"/>
  <c r="AC24" i="2081" s="1"/>
  <c r="O24" i="2081"/>
  <c r="M24" i="2081"/>
  <c r="K24" i="2081"/>
  <c r="AF23" i="2081"/>
  <c r="AB23" i="2081"/>
  <c r="Q23" i="2081"/>
  <c r="P23" i="2081"/>
  <c r="AC23" i="2081" s="1"/>
  <c r="AD23" i="2081" s="1"/>
  <c r="O23" i="2081"/>
  <c r="M23" i="2081"/>
  <c r="K23" i="2081"/>
  <c r="AF22" i="2081"/>
  <c r="AB22" i="2081"/>
  <c r="Q22" i="2081"/>
  <c r="M22" i="2081"/>
  <c r="P22" i="2081"/>
  <c r="AC22" i="2081" s="1"/>
  <c r="AF21" i="2081"/>
  <c r="AB21" i="2081"/>
  <c r="Q21" i="2081"/>
  <c r="P21" i="2081"/>
  <c r="AC21" i="2081" s="1"/>
  <c r="AD21" i="2081" s="1"/>
  <c r="O21" i="2081"/>
  <c r="M21" i="2081"/>
  <c r="K21" i="2081"/>
  <c r="AF20" i="2081"/>
  <c r="Q20" i="2081"/>
  <c r="O20" i="2081"/>
  <c r="M20" i="2081"/>
  <c r="AF19" i="2081"/>
  <c r="AB19" i="2081"/>
  <c r="Q19" i="2081"/>
  <c r="P19" i="2081" s="1"/>
  <c r="AC19" i="2081" s="1"/>
  <c r="O19" i="2081"/>
  <c r="M19" i="2081"/>
  <c r="AF18" i="2081"/>
  <c r="AB18" i="2081"/>
  <c r="Q18" i="2081"/>
  <c r="P18" i="2081"/>
  <c r="AC18" i="2081" s="1"/>
  <c r="AD18" i="2081" s="1"/>
  <c r="O18" i="2081"/>
  <c r="M18" i="2081"/>
  <c r="AF17" i="2081"/>
  <c r="AB17" i="2081"/>
  <c r="Q17" i="2081"/>
  <c r="O17" i="2081"/>
  <c r="P17" i="2081"/>
  <c r="AC17" i="2081" s="1"/>
  <c r="AF16" i="2081"/>
  <c r="AB16" i="2081"/>
  <c r="Q16" i="2081"/>
  <c r="P16" i="2081"/>
  <c r="AC16" i="2081" s="1"/>
  <c r="AD16" i="2081" s="1"/>
  <c r="O16" i="2081"/>
  <c r="M16" i="2081"/>
  <c r="K16" i="2081"/>
  <c r="AF15" i="2081"/>
  <c r="AB15" i="2081"/>
  <c r="Q15" i="2081"/>
  <c r="P15" i="2081" s="1"/>
  <c r="AC15" i="2081" s="1"/>
  <c r="O15" i="2081"/>
  <c r="M15" i="2081"/>
  <c r="K15" i="2081"/>
  <c r="AF13" i="2081"/>
  <c r="Q13" i="2081"/>
  <c r="P13" i="2081" s="1"/>
  <c r="AC13" i="2081" s="1"/>
  <c r="O13" i="2081"/>
  <c r="AF12" i="2081"/>
  <c r="AB12" i="2081"/>
  <c r="Q12" i="2081"/>
  <c r="M12" i="2081"/>
  <c r="I12" i="2081"/>
  <c r="I29" i="2081" s="1"/>
  <c r="AF11" i="2081"/>
  <c r="AB11" i="2081"/>
  <c r="Q11" i="2081"/>
  <c r="M11" i="2081"/>
  <c r="AF10" i="2081"/>
  <c r="Q10" i="2081"/>
  <c r="P10" i="2081"/>
  <c r="AC10" i="2081" s="1"/>
  <c r="AF9" i="2081"/>
  <c r="AB9" i="2081"/>
  <c r="Q9" i="2081"/>
  <c r="P9" i="2081" s="1"/>
  <c r="AC9" i="2081" s="1"/>
  <c r="O9" i="2081"/>
  <c r="M9" i="2081"/>
  <c r="AF8" i="2081"/>
  <c r="AB8" i="2081"/>
  <c r="Q8" i="2081"/>
  <c r="P8" i="2081" s="1"/>
  <c r="AC8" i="2081" s="1"/>
  <c r="O8" i="2081"/>
  <c r="M8" i="2081"/>
  <c r="AF7" i="2081"/>
  <c r="Q7" i="2081"/>
  <c r="P7" i="2081" s="1"/>
  <c r="AC7" i="2081" s="1"/>
  <c r="AF6" i="2081"/>
  <c r="AB6" i="2081"/>
  <c r="Q6" i="2081"/>
  <c r="P6" i="2081"/>
  <c r="AC6" i="2081" s="1"/>
  <c r="O6" i="2081"/>
  <c r="M6" i="2081"/>
  <c r="K6" i="2081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AD6" i="2080"/>
  <c r="M7" i="16"/>
  <c r="M6" i="16"/>
  <c r="M5" i="16"/>
  <c r="M4" i="16"/>
  <c r="M3" i="16"/>
  <c r="L22" i="2080"/>
  <c r="L20" i="2080"/>
  <c r="M20" i="2080" s="1"/>
  <c r="L18" i="2080"/>
  <c r="L17" i="2080"/>
  <c r="L13" i="2080"/>
  <c r="L10" i="2080"/>
  <c r="K10" i="2080" s="1"/>
  <c r="L11" i="2080"/>
  <c r="K11" i="2080" s="1"/>
  <c r="L7" i="2080"/>
  <c r="K7" i="2080" s="1"/>
  <c r="K22" i="2080"/>
  <c r="K20" i="2080"/>
  <c r="K18" i="2080"/>
  <c r="K14" i="2080"/>
  <c r="K13" i="2080"/>
  <c r="A85" i="2080"/>
  <c r="A86" i="2080" s="1"/>
  <c r="A87" i="2080" s="1"/>
  <c r="A88" i="2080" s="1"/>
  <c r="A89" i="2080" s="1"/>
  <c r="A84" i="2080"/>
  <c r="AF68" i="2080"/>
  <c r="AF67" i="2080"/>
  <c r="AF70" i="2080" s="1"/>
  <c r="AA29" i="2080"/>
  <c r="Z29" i="2080"/>
  <c r="Y29" i="2080"/>
  <c r="X29" i="2080"/>
  <c r="W29" i="2080"/>
  <c r="V29" i="2080"/>
  <c r="U29" i="2080"/>
  <c r="T29" i="2080"/>
  <c r="S29" i="2080"/>
  <c r="R29" i="2080"/>
  <c r="N29" i="2080"/>
  <c r="J29" i="2080"/>
  <c r="AF28" i="2080"/>
  <c r="AB28" i="2080"/>
  <c r="Q28" i="2080"/>
  <c r="P28" i="2080"/>
  <c r="AC28" i="2080" s="1"/>
  <c r="AD28" i="2080" s="1"/>
  <c r="O28" i="2080"/>
  <c r="M28" i="2080"/>
  <c r="K28" i="2080"/>
  <c r="AF27" i="2080"/>
  <c r="AC27" i="2080"/>
  <c r="AD27" i="2080" s="1"/>
  <c r="AB27" i="2080"/>
  <c r="Q27" i="2080"/>
  <c r="P27" i="2080"/>
  <c r="O27" i="2080"/>
  <c r="M27" i="2080"/>
  <c r="K27" i="2080"/>
  <c r="AF26" i="2080"/>
  <c r="AB26" i="2080"/>
  <c r="Q26" i="2080"/>
  <c r="P26" i="2080"/>
  <c r="AC26" i="2080" s="1"/>
  <c r="AD26" i="2080" s="1"/>
  <c r="O26" i="2080"/>
  <c r="M26" i="2080"/>
  <c r="K26" i="2080"/>
  <c r="AF25" i="2080"/>
  <c r="AC25" i="2080"/>
  <c r="AD25" i="2080" s="1"/>
  <c r="AB25" i="2080"/>
  <c r="Q25" i="2080"/>
  <c r="P25" i="2080"/>
  <c r="O25" i="2080"/>
  <c r="M25" i="2080"/>
  <c r="K25" i="2080"/>
  <c r="AF24" i="2080"/>
  <c r="AB24" i="2080"/>
  <c r="Q24" i="2080"/>
  <c r="P24" i="2080"/>
  <c r="AC24" i="2080" s="1"/>
  <c r="AD24" i="2080" s="1"/>
  <c r="O24" i="2080"/>
  <c r="M24" i="2080"/>
  <c r="K24" i="2080"/>
  <c r="AF23" i="2080"/>
  <c r="AC23" i="2080"/>
  <c r="AD23" i="2080" s="1"/>
  <c r="AB23" i="2080"/>
  <c r="Q23" i="2080"/>
  <c r="P23" i="2080"/>
  <c r="O23" i="2080"/>
  <c r="M23" i="2080"/>
  <c r="K23" i="2080"/>
  <c r="AF22" i="2080"/>
  <c r="Q22" i="2080"/>
  <c r="P22" i="2080"/>
  <c r="AC22" i="2080" s="1"/>
  <c r="AF21" i="2080"/>
  <c r="AB21" i="2080"/>
  <c r="Q21" i="2080"/>
  <c r="P21" i="2080"/>
  <c r="AC21" i="2080" s="1"/>
  <c r="AD21" i="2080" s="1"/>
  <c r="O21" i="2080"/>
  <c r="M21" i="2080"/>
  <c r="K21" i="2080"/>
  <c r="AF20" i="2080"/>
  <c r="AB20" i="2080"/>
  <c r="Q20" i="2080"/>
  <c r="AF19" i="2080"/>
  <c r="AB19" i="2080"/>
  <c r="Q19" i="2080"/>
  <c r="P19" i="2080"/>
  <c r="AC19" i="2080" s="1"/>
  <c r="AD19" i="2080" s="1"/>
  <c r="O19" i="2080"/>
  <c r="M19" i="2080"/>
  <c r="K19" i="2080"/>
  <c r="AF18" i="2080"/>
  <c r="AB18" i="2080"/>
  <c r="Q18" i="2080"/>
  <c r="O18" i="2080"/>
  <c r="M18" i="2080"/>
  <c r="P18" i="2080"/>
  <c r="AC18" i="2080" s="1"/>
  <c r="AD18" i="2080" s="1"/>
  <c r="AF17" i="2080"/>
  <c r="AB17" i="2080"/>
  <c r="Q17" i="2080"/>
  <c r="P17" i="2080"/>
  <c r="AC17" i="2080" s="1"/>
  <c r="O17" i="2080"/>
  <c r="M17" i="2080"/>
  <c r="K17" i="2080"/>
  <c r="AF16" i="2080"/>
  <c r="AB16" i="2080"/>
  <c r="Q16" i="2080"/>
  <c r="P16" i="2080"/>
  <c r="AC16" i="2080" s="1"/>
  <c r="AD16" i="2080" s="1"/>
  <c r="O16" i="2080"/>
  <c r="M16" i="2080"/>
  <c r="K16" i="2080"/>
  <c r="AF15" i="2080"/>
  <c r="AB15" i="2080"/>
  <c r="Q15" i="2080"/>
  <c r="P15" i="2080"/>
  <c r="AC15" i="2080" s="1"/>
  <c r="O15" i="2080"/>
  <c r="M15" i="2080"/>
  <c r="K15" i="2080"/>
  <c r="AF14" i="2080"/>
  <c r="Q14" i="2080"/>
  <c r="P14" i="2080"/>
  <c r="AC14" i="2080" s="1"/>
  <c r="O14" i="2080"/>
  <c r="AB14" i="2080"/>
  <c r="AF13" i="2080"/>
  <c r="AB13" i="2080"/>
  <c r="Q13" i="2080"/>
  <c r="O13" i="2080"/>
  <c r="M13" i="2080"/>
  <c r="P13" i="2080"/>
  <c r="AC13" i="2080" s="1"/>
  <c r="AD13" i="2080" s="1"/>
  <c r="I13" i="2080"/>
  <c r="I29" i="2080" s="1"/>
  <c r="AF12" i="2080"/>
  <c r="AC12" i="2080"/>
  <c r="AB12" i="2080"/>
  <c r="Q12" i="2080"/>
  <c r="P12" i="2080"/>
  <c r="O12" i="2080"/>
  <c r="M12" i="2080"/>
  <c r="K12" i="2080"/>
  <c r="AF11" i="2080"/>
  <c r="Q11" i="2080"/>
  <c r="P11" i="2080"/>
  <c r="AC11" i="2080" s="1"/>
  <c r="AF10" i="2080"/>
  <c r="Q10" i="2080"/>
  <c r="P10" i="2080" s="1"/>
  <c r="AC10" i="2080" s="1"/>
  <c r="O10" i="2080"/>
  <c r="AB10" i="2080"/>
  <c r="AF9" i="2080"/>
  <c r="AC9" i="2080"/>
  <c r="AB9" i="2080"/>
  <c r="Q9" i="2080"/>
  <c r="P9" i="2080"/>
  <c r="O9" i="2080"/>
  <c r="M9" i="2080"/>
  <c r="K9" i="2080"/>
  <c r="AF8" i="2080"/>
  <c r="AB8" i="2080"/>
  <c r="Q8" i="2080"/>
  <c r="P8" i="2080"/>
  <c r="AC8" i="2080" s="1"/>
  <c r="O8" i="2080"/>
  <c r="M8" i="2080"/>
  <c r="K8" i="2080"/>
  <c r="AF7" i="2080"/>
  <c r="AB7" i="2080"/>
  <c r="Q7" i="2080"/>
  <c r="O7" i="2080"/>
  <c r="M7" i="2080"/>
  <c r="L29" i="2080"/>
  <c r="O29" i="2080" s="1"/>
  <c r="AF6" i="2080"/>
  <c r="AB6" i="2080"/>
  <c r="Q6" i="2080"/>
  <c r="P6" i="2080"/>
  <c r="O6" i="2080"/>
  <c r="M6" i="2080"/>
  <c r="K6" i="2080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2" i="2079"/>
  <c r="AB22" i="2079" s="1"/>
  <c r="L20" i="2079"/>
  <c r="K20" i="2079" s="1"/>
  <c r="L18" i="2079"/>
  <c r="K18" i="2079" s="1"/>
  <c r="L14" i="2079"/>
  <c r="L13" i="2079"/>
  <c r="L11" i="2079"/>
  <c r="K11" i="2079" s="1"/>
  <c r="AF11" i="2079"/>
  <c r="Q11" i="2079"/>
  <c r="O11" i="2079"/>
  <c r="L10" i="2079"/>
  <c r="K10" i="2079" s="1"/>
  <c r="L7" i="2079"/>
  <c r="K14" i="2079"/>
  <c r="K13" i="2079"/>
  <c r="K9" i="2079"/>
  <c r="K8" i="2079"/>
  <c r="K6" i="2079"/>
  <c r="A84" i="2079"/>
  <c r="A85" i="2079" s="1"/>
  <c r="A86" i="2079" s="1"/>
  <c r="A87" i="2079" s="1"/>
  <c r="A88" i="2079" s="1"/>
  <c r="A89" i="2079" s="1"/>
  <c r="AF68" i="2079"/>
  <c r="AF67" i="2079"/>
  <c r="AF70" i="2079" s="1"/>
  <c r="AA29" i="2079"/>
  <c r="Z29" i="2079"/>
  <c r="Y29" i="2079"/>
  <c r="X29" i="2079"/>
  <c r="W29" i="2079"/>
  <c r="V29" i="2079"/>
  <c r="U29" i="2079"/>
  <c r="T29" i="2079"/>
  <c r="S29" i="2079"/>
  <c r="R29" i="2079"/>
  <c r="N29" i="2079"/>
  <c r="J29" i="2079"/>
  <c r="AF28" i="2079"/>
  <c r="AB28" i="2079"/>
  <c r="Q28" i="2079"/>
  <c r="P28" i="2079"/>
  <c r="AC28" i="2079" s="1"/>
  <c r="AD28" i="2079" s="1"/>
  <c r="O28" i="2079"/>
  <c r="M28" i="2079"/>
  <c r="K28" i="2079"/>
  <c r="AF27" i="2079"/>
  <c r="AB27" i="2079"/>
  <c r="Q27" i="2079"/>
  <c r="P27" i="2079"/>
  <c r="AC27" i="2079" s="1"/>
  <c r="O27" i="2079"/>
  <c r="M27" i="2079"/>
  <c r="K27" i="2079"/>
  <c r="AF26" i="2079"/>
  <c r="AB26" i="2079"/>
  <c r="Q26" i="2079"/>
  <c r="P26" i="2079"/>
  <c r="AC26" i="2079" s="1"/>
  <c r="O26" i="2079"/>
  <c r="M26" i="2079"/>
  <c r="K26" i="2079"/>
  <c r="AF25" i="2079"/>
  <c r="AB25" i="2079"/>
  <c r="Q25" i="2079"/>
  <c r="P25" i="2079"/>
  <c r="AC25" i="2079" s="1"/>
  <c r="O25" i="2079"/>
  <c r="M25" i="2079"/>
  <c r="K25" i="2079"/>
  <c r="AF24" i="2079"/>
  <c r="AB24" i="2079"/>
  <c r="Q24" i="2079"/>
  <c r="P24" i="2079"/>
  <c r="AC24" i="2079" s="1"/>
  <c r="AD24" i="2079" s="1"/>
  <c r="O24" i="2079"/>
  <c r="M24" i="2079"/>
  <c r="K24" i="2079"/>
  <c r="AF23" i="2079"/>
  <c r="AB23" i="2079"/>
  <c r="Q23" i="2079"/>
  <c r="P23" i="2079"/>
  <c r="AC23" i="2079" s="1"/>
  <c r="O23" i="2079"/>
  <c r="M23" i="2079"/>
  <c r="K23" i="2079"/>
  <c r="AF22" i="2079"/>
  <c r="Q22" i="2079"/>
  <c r="P22" i="2079" s="1"/>
  <c r="AC22" i="2079" s="1"/>
  <c r="O22" i="2079"/>
  <c r="AF21" i="2079"/>
  <c r="AB21" i="2079"/>
  <c r="Q21" i="2079"/>
  <c r="P21" i="2079"/>
  <c r="AC21" i="2079" s="1"/>
  <c r="O21" i="2079"/>
  <c r="M21" i="2079"/>
  <c r="K21" i="2079"/>
  <c r="AF20" i="2079"/>
  <c r="Q20" i="2079"/>
  <c r="M20" i="2079"/>
  <c r="P20" i="2079"/>
  <c r="AC20" i="2079" s="1"/>
  <c r="AF19" i="2079"/>
  <c r="AB19" i="2079"/>
  <c r="Q19" i="2079"/>
  <c r="P19" i="2079"/>
  <c r="AC19" i="2079" s="1"/>
  <c r="AD19" i="2079" s="1"/>
  <c r="O19" i="2079"/>
  <c r="M19" i="2079"/>
  <c r="K19" i="2079"/>
  <c r="AF18" i="2079"/>
  <c r="AB18" i="2079"/>
  <c r="Q18" i="2079"/>
  <c r="P18" i="2079"/>
  <c r="AC18" i="2079" s="1"/>
  <c r="O18" i="2079"/>
  <c r="M18" i="2079"/>
  <c r="AF17" i="2079"/>
  <c r="AB17" i="2079"/>
  <c r="Q17" i="2079"/>
  <c r="P17" i="2079"/>
  <c r="AC17" i="2079" s="1"/>
  <c r="O17" i="2079"/>
  <c r="M17" i="2079"/>
  <c r="K17" i="2079"/>
  <c r="AF16" i="2079"/>
  <c r="AB16" i="2079"/>
  <c r="Q16" i="2079"/>
  <c r="P16" i="2079"/>
  <c r="AC16" i="2079" s="1"/>
  <c r="O16" i="2079"/>
  <c r="M16" i="2079"/>
  <c r="K16" i="2079"/>
  <c r="AF15" i="2079"/>
  <c r="AC15" i="2079"/>
  <c r="AB15" i="2079"/>
  <c r="Q15" i="2079"/>
  <c r="P15" i="2079"/>
  <c r="O15" i="2079"/>
  <c r="M15" i="2079"/>
  <c r="K15" i="2079"/>
  <c r="AF14" i="2079"/>
  <c r="Q14" i="2079"/>
  <c r="AB14" i="2079"/>
  <c r="AF13" i="2079"/>
  <c r="Q13" i="2079"/>
  <c r="P13" i="2079"/>
  <c r="AC13" i="2079" s="1"/>
  <c r="O13" i="2079"/>
  <c r="I13" i="2079"/>
  <c r="I29" i="2079" s="1"/>
  <c r="AF12" i="2079"/>
  <c r="AB12" i="2079"/>
  <c r="Q12" i="2079"/>
  <c r="P12" i="2079"/>
  <c r="AC12" i="2079" s="1"/>
  <c r="O12" i="2079"/>
  <c r="M12" i="2079"/>
  <c r="K12" i="2079"/>
  <c r="AF10" i="2079"/>
  <c r="Q10" i="2079"/>
  <c r="O10" i="2079"/>
  <c r="AF9" i="2079"/>
  <c r="Q9" i="2079"/>
  <c r="AB9" i="2079"/>
  <c r="AF8" i="2079"/>
  <c r="Q8" i="2079"/>
  <c r="P8" i="2079"/>
  <c r="AC8" i="2079" s="1"/>
  <c r="O8" i="2079"/>
  <c r="AF7" i="2079"/>
  <c r="Q7" i="2079"/>
  <c r="AF6" i="2079"/>
  <c r="AB6" i="2079"/>
  <c r="Q6" i="2079"/>
  <c r="O6" i="2079"/>
  <c r="M6" i="2079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9" i="2078"/>
  <c r="K14" i="2078"/>
  <c r="L13" i="2078"/>
  <c r="M13" i="2078" s="1"/>
  <c r="L12" i="2078"/>
  <c r="L10" i="2078"/>
  <c r="K10" i="2078" s="1"/>
  <c r="L9" i="2078"/>
  <c r="AB9" i="2078" s="1"/>
  <c r="L8" i="2078"/>
  <c r="K8" i="2078" s="1"/>
  <c r="L7" i="2078"/>
  <c r="K7" i="2078" s="1"/>
  <c r="L6" i="2078"/>
  <c r="K6" i="2078" s="1"/>
  <c r="K21" i="2078"/>
  <c r="K19" i="2078"/>
  <c r="K16" i="2078"/>
  <c r="K12" i="2078"/>
  <c r="K11" i="2078"/>
  <c r="A84" i="2078"/>
  <c r="A85" i="2078" s="1"/>
  <c r="A86" i="2078" s="1"/>
  <c r="A87" i="2078" s="1"/>
  <c r="A88" i="2078" s="1"/>
  <c r="A83" i="2078"/>
  <c r="AF67" i="2078"/>
  <c r="AF66" i="2078"/>
  <c r="AF69" i="2078" s="1"/>
  <c r="AA28" i="2078"/>
  <c r="Z28" i="2078"/>
  <c r="Y28" i="2078"/>
  <c r="X28" i="2078"/>
  <c r="W28" i="2078"/>
  <c r="V28" i="2078"/>
  <c r="U28" i="2078"/>
  <c r="T28" i="2078"/>
  <c r="S28" i="2078"/>
  <c r="R28" i="2078"/>
  <c r="N28" i="2078"/>
  <c r="J28" i="2078"/>
  <c r="AF27" i="2078"/>
  <c r="AB27" i="2078"/>
  <c r="Q27" i="2078"/>
  <c r="P27" i="2078"/>
  <c r="AC27" i="2078" s="1"/>
  <c r="AD27" i="2078" s="1"/>
  <c r="O27" i="2078"/>
  <c r="M27" i="2078"/>
  <c r="K27" i="2078"/>
  <c r="AF26" i="2078"/>
  <c r="AB26" i="2078"/>
  <c r="Q26" i="2078"/>
  <c r="P26" i="2078"/>
  <c r="AC26" i="2078" s="1"/>
  <c r="AD26" i="2078" s="1"/>
  <c r="O26" i="2078"/>
  <c r="M26" i="2078"/>
  <c r="K26" i="2078"/>
  <c r="AF25" i="2078"/>
  <c r="AC25" i="2078"/>
  <c r="AD25" i="2078" s="1"/>
  <c r="AB25" i="2078"/>
  <c r="Q25" i="2078"/>
  <c r="P25" i="2078"/>
  <c r="O25" i="2078"/>
  <c r="M25" i="2078"/>
  <c r="K25" i="2078"/>
  <c r="AF24" i="2078"/>
  <c r="AB24" i="2078"/>
  <c r="Q24" i="2078"/>
  <c r="P24" i="2078"/>
  <c r="AC24" i="2078" s="1"/>
  <c r="AD24" i="2078" s="1"/>
  <c r="O24" i="2078"/>
  <c r="M24" i="2078"/>
  <c r="K24" i="2078"/>
  <c r="AF23" i="2078"/>
  <c r="AC23" i="2078"/>
  <c r="AD23" i="2078" s="1"/>
  <c r="AB23" i="2078"/>
  <c r="Q23" i="2078"/>
  <c r="P23" i="2078"/>
  <c r="O23" i="2078"/>
  <c r="M23" i="2078"/>
  <c r="K23" i="2078"/>
  <c r="AF22" i="2078"/>
  <c r="AB22" i="2078"/>
  <c r="Q22" i="2078"/>
  <c r="P22" i="2078"/>
  <c r="AC22" i="2078" s="1"/>
  <c r="AD22" i="2078" s="1"/>
  <c r="O22" i="2078"/>
  <c r="M22" i="2078"/>
  <c r="K22" i="2078"/>
  <c r="AF21" i="2078"/>
  <c r="Q21" i="2078"/>
  <c r="O21" i="2078"/>
  <c r="P21" i="2078"/>
  <c r="AC21" i="2078" s="1"/>
  <c r="AF20" i="2078"/>
  <c r="AB20" i="2078"/>
  <c r="Q20" i="2078"/>
  <c r="P20" i="2078"/>
  <c r="AC20" i="2078" s="1"/>
  <c r="O20" i="2078"/>
  <c r="M20" i="2078"/>
  <c r="K20" i="2078"/>
  <c r="AF19" i="2078"/>
  <c r="Q19" i="2078"/>
  <c r="P19" i="2078"/>
  <c r="AC19" i="2078" s="1"/>
  <c r="O19" i="2078"/>
  <c r="AB19" i="2078"/>
  <c r="AF18" i="2078"/>
  <c r="AB18" i="2078"/>
  <c r="Q18" i="2078"/>
  <c r="P18" i="2078"/>
  <c r="AC18" i="2078" s="1"/>
  <c r="AD18" i="2078" s="1"/>
  <c r="O18" i="2078"/>
  <c r="M18" i="2078"/>
  <c r="K18" i="2078"/>
  <c r="AF17" i="2078"/>
  <c r="AB17" i="2078"/>
  <c r="Q17" i="2078"/>
  <c r="P17" i="2078"/>
  <c r="AC17" i="2078" s="1"/>
  <c r="O17" i="2078"/>
  <c r="M17" i="2078"/>
  <c r="K17" i="2078"/>
  <c r="AF16" i="2078"/>
  <c r="Q16" i="2078"/>
  <c r="O16" i="2078"/>
  <c r="P16" i="2078"/>
  <c r="AC16" i="2078" s="1"/>
  <c r="AF15" i="2078"/>
  <c r="AB15" i="2078"/>
  <c r="Q15" i="2078"/>
  <c r="P15" i="2078"/>
  <c r="AC15" i="2078" s="1"/>
  <c r="O15" i="2078"/>
  <c r="M15" i="2078"/>
  <c r="K15" i="2078"/>
  <c r="AF14" i="2078"/>
  <c r="AB14" i="2078"/>
  <c r="Q14" i="2078"/>
  <c r="P14" i="2078"/>
  <c r="AC14" i="2078" s="1"/>
  <c r="AD14" i="2078" s="1"/>
  <c r="O14" i="2078"/>
  <c r="M14" i="2078"/>
  <c r="AF13" i="2078"/>
  <c r="Q13" i="2078"/>
  <c r="O13" i="2078"/>
  <c r="AF12" i="2078"/>
  <c r="Q12" i="2078"/>
  <c r="O12" i="2078"/>
  <c r="I12" i="2078"/>
  <c r="I28" i="2078" s="1"/>
  <c r="AF11" i="2078"/>
  <c r="Q11" i="2078"/>
  <c r="O11" i="2078"/>
  <c r="AF10" i="2078"/>
  <c r="Q10" i="2078"/>
  <c r="P10" i="2078"/>
  <c r="AC10" i="2078" s="1"/>
  <c r="AB10" i="2078"/>
  <c r="AF9" i="2078"/>
  <c r="Q9" i="2078"/>
  <c r="O9" i="2078"/>
  <c r="AF8" i="2078"/>
  <c r="Q8" i="2078"/>
  <c r="O8" i="2078"/>
  <c r="M8" i="2078"/>
  <c r="AF7" i="2078"/>
  <c r="Q7" i="2078"/>
  <c r="O7" i="2078"/>
  <c r="AF6" i="2078"/>
  <c r="AB6" i="2078"/>
  <c r="Q6" i="2078"/>
  <c r="O6" i="2078"/>
  <c r="M6" i="2078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2077"/>
  <c r="L19" i="2077"/>
  <c r="K19" i="2077" s="1"/>
  <c r="L16" i="2077"/>
  <c r="L13" i="2077"/>
  <c r="O13" i="2077" s="1"/>
  <c r="L12" i="2077"/>
  <c r="AB12" i="2077" s="1"/>
  <c r="I12" i="2077"/>
  <c r="L11" i="2077"/>
  <c r="AB11" i="2077" s="1"/>
  <c r="K11" i="2077"/>
  <c r="L10" i="2077"/>
  <c r="K10" i="2077"/>
  <c r="L9" i="2077"/>
  <c r="L8" i="2077"/>
  <c r="AB8" i="2077" s="1"/>
  <c r="L7" i="2077"/>
  <c r="K6" i="2077"/>
  <c r="K21" i="2077"/>
  <c r="K16" i="2077"/>
  <c r="K9" i="2077"/>
  <c r="K7" i="2077"/>
  <c r="A83" i="2077"/>
  <c r="A84" i="2077" s="1"/>
  <c r="A85" i="2077" s="1"/>
  <c r="A86" i="2077" s="1"/>
  <c r="A87" i="2077" s="1"/>
  <c r="A88" i="2077" s="1"/>
  <c r="AF67" i="2077"/>
  <c r="AF66" i="2077"/>
  <c r="AF69" i="2077" s="1"/>
  <c r="AA28" i="2077"/>
  <c r="Z28" i="2077"/>
  <c r="Y28" i="2077"/>
  <c r="X28" i="2077"/>
  <c r="W28" i="2077"/>
  <c r="V28" i="2077"/>
  <c r="U28" i="2077"/>
  <c r="T28" i="2077"/>
  <c r="S28" i="2077"/>
  <c r="R28" i="2077"/>
  <c r="N28" i="2077"/>
  <c r="J28" i="2077"/>
  <c r="I28" i="2077"/>
  <c r="AF27" i="2077"/>
  <c r="AB27" i="2077"/>
  <c r="Q27" i="2077"/>
  <c r="P27" i="2077"/>
  <c r="AC27" i="2077" s="1"/>
  <c r="AD27" i="2077" s="1"/>
  <c r="O27" i="2077"/>
  <c r="M27" i="2077"/>
  <c r="K27" i="2077"/>
  <c r="AF26" i="2077"/>
  <c r="AB26" i="2077"/>
  <c r="Q26" i="2077"/>
  <c r="P26" i="2077"/>
  <c r="AC26" i="2077" s="1"/>
  <c r="AD26" i="2077" s="1"/>
  <c r="O26" i="2077"/>
  <c r="M26" i="2077"/>
  <c r="K26" i="2077"/>
  <c r="AF25" i="2077"/>
  <c r="AB25" i="2077"/>
  <c r="Q25" i="2077"/>
  <c r="P25" i="2077"/>
  <c r="AC25" i="2077" s="1"/>
  <c r="AD25" i="2077" s="1"/>
  <c r="O25" i="2077"/>
  <c r="M25" i="2077"/>
  <c r="K25" i="2077"/>
  <c r="AF24" i="2077"/>
  <c r="AC24" i="2077"/>
  <c r="AD24" i="2077" s="1"/>
  <c r="AB24" i="2077"/>
  <c r="Q24" i="2077"/>
  <c r="P24" i="2077"/>
  <c r="O24" i="2077"/>
  <c r="M24" i="2077"/>
  <c r="K24" i="2077"/>
  <c r="AF23" i="2077"/>
  <c r="AB23" i="2077"/>
  <c r="Q23" i="2077"/>
  <c r="P23" i="2077"/>
  <c r="AC23" i="2077" s="1"/>
  <c r="AD23" i="2077" s="1"/>
  <c r="O23" i="2077"/>
  <c r="M23" i="2077"/>
  <c r="K23" i="2077"/>
  <c r="AF22" i="2077"/>
  <c r="AB22" i="2077"/>
  <c r="Q22" i="2077"/>
  <c r="P22" i="2077"/>
  <c r="AC22" i="2077" s="1"/>
  <c r="AD22" i="2077" s="1"/>
  <c r="O22" i="2077"/>
  <c r="M22" i="2077"/>
  <c r="K22" i="2077"/>
  <c r="AF21" i="2077"/>
  <c r="Q21" i="2077"/>
  <c r="AF20" i="2077"/>
  <c r="AB20" i="2077"/>
  <c r="Q20" i="2077"/>
  <c r="P20" i="2077"/>
  <c r="AC20" i="2077" s="1"/>
  <c r="O20" i="2077"/>
  <c r="M20" i="2077"/>
  <c r="K20" i="2077"/>
  <c r="AF19" i="2077"/>
  <c r="AB19" i="2077"/>
  <c r="Q19" i="2077"/>
  <c r="M19" i="2077"/>
  <c r="AF18" i="2077"/>
  <c r="AB18" i="2077"/>
  <c r="Q18" i="2077"/>
  <c r="P18" i="2077"/>
  <c r="AC18" i="2077" s="1"/>
  <c r="O18" i="2077"/>
  <c r="M18" i="2077"/>
  <c r="K18" i="2077"/>
  <c r="AF17" i="2077"/>
  <c r="AB17" i="2077"/>
  <c r="Q17" i="2077"/>
  <c r="P17" i="2077"/>
  <c r="AC17" i="2077" s="1"/>
  <c r="AD17" i="2077" s="1"/>
  <c r="O17" i="2077"/>
  <c r="M17" i="2077"/>
  <c r="K17" i="2077"/>
  <c r="AF16" i="2077"/>
  <c r="Q16" i="2077"/>
  <c r="P16" i="2077" s="1"/>
  <c r="AC16" i="2077" s="1"/>
  <c r="AF15" i="2077"/>
  <c r="AB15" i="2077"/>
  <c r="Q15" i="2077"/>
  <c r="P15" i="2077"/>
  <c r="AC15" i="2077" s="1"/>
  <c r="AD15" i="2077" s="1"/>
  <c r="O15" i="2077"/>
  <c r="M15" i="2077"/>
  <c r="K15" i="2077"/>
  <c r="AF14" i="2077"/>
  <c r="AB14" i="2077"/>
  <c r="Q14" i="2077"/>
  <c r="P14" i="2077"/>
  <c r="AC14" i="2077" s="1"/>
  <c r="O14" i="2077"/>
  <c r="M14" i="2077"/>
  <c r="K14" i="2077"/>
  <c r="AF13" i="2077"/>
  <c r="Q13" i="2077"/>
  <c r="P13" i="2077"/>
  <c r="AC13" i="2077" s="1"/>
  <c r="AF12" i="2077"/>
  <c r="Q12" i="2077"/>
  <c r="O12" i="2077"/>
  <c r="AF11" i="2077"/>
  <c r="Q11" i="2077"/>
  <c r="P11" i="2077" s="1"/>
  <c r="AC11" i="2077" s="1"/>
  <c r="O11" i="2077"/>
  <c r="AF10" i="2077"/>
  <c r="AB10" i="2077"/>
  <c r="Q10" i="2077"/>
  <c r="P10" i="2077" s="1"/>
  <c r="AC10" i="2077" s="1"/>
  <c r="AD10" i="2077" s="1"/>
  <c r="O10" i="2077"/>
  <c r="M10" i="2077"/>
  <c r="AF9" i="2077"/>
  <c r="Q9" i="2077"/>
  <c r="P9" i="2077" s="1"/>
  <c r="AC9" i="2077" s="1"/>
  <c r="O9" i="2077"/>
  <c r="AB9" i="2077"/>
  <c r="AF8" i="2077"/>
  <c r="AC8" i="2077"/>
  <c r="Q8" i="2077"/>
  <c r="P8" i="2077"/>
  <c r="O8" i="2077"/>
  <c r="AF7" i="2077"/>
  <c r="Q7" i="2077"/>
  <c r="P7" i="2077" s="1"/>
  <c r="AC7" i="2077" s="1"/>
  <c r="AF6" i="2077"/>
  <c r="Q6" i="2077"/>
  <c r="O6" i="2077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2076"/>
  <c r="M21" i="2076" s="1"/>
  <c r="L19" i="2076"/>
  <c r="AB19" i="2076" s="1"/>
  <c r="L16" i="2076"/>
  <c r="L13" i="2076"/>
  <c r="K13" i="2076" s="1"/>
  <c r="L12" i="2076"/>
  <c r="K12" i="2076" s="1"/>
  <c r="L11" i="2076"/>
  <c r="K11" i="2076"/>
  <c r="K10" i="2076"/>
  <c r="L9" i="2076"/>
  <c r="L8" i="2076"/>
  <c r="K8" i="2076" s="1"/>
  <c r="L7" i="2076"/>
  <c r="AB7" i="2076" s="1"/>
  <c r="L6" i="2076"/>
  <c r="M6" i="2076" s="1"/>
  <c r="K21" i="2076"/>
  <c r="K19" i="2076"/>
  <c r="K16" i="2076"/>
  <c r="K9" i="2076"/>
  <c r="A85" i="2076"/>
  <c r="A86" i="2076" s="1"/>
  <c r="A87" i="2076" s="1"/>
  <c r="A88" i="2076" s="1"/>
  <c r="A84" i="2076"/>
  <c r="A83" i="2076"/>
  <c r="AF67" i="2076"/>
  <c r="AF66" i="2076"/>
  <c r="AF69" i="2076" s="1"/>
  <c r="AA28" i="2076"/>
  <c r="Z28" i="2076"/>
  <c r="Y28" i="2076"/>
  <c r="X28" i="2076"/>
  <c r="W28" i="2076"/>
  <c r="V28" i="2076"/>
  <c r="U28" i="2076"/>
  <c r="T28" i="2076"/>
  <c r="S28" i="2076"/>
  <c r="R28" i="2076"/>
  <c r="N28" i="2076"/>
  <c r="J28" i="2076"/>
  <c r="I28" i="2076"/>
  <c r="AF27" i="2076"/>
  <c r="AB27" i="2076"/>
  <c r="Q27" i="2076"/>
  <c r="P27" i="2076"/>
  <c r="AC27" i="2076" s="1"/>
  <c r="O27" i="2076"/>
  <c r="M27" i="2076"/>
  <c r="K27" i="2076"/>
  <c r="AF26" i="2076"/>
  <c r="AB26" i="2076"/>
  <c r="Q26" i="2076"/>
  <c r="P26" i="2076"/>
  <c r="AC26" i="2076" s="1"/>
  <c r="O26" i="2076"/>
  <c r="M26" i="2076"/>
  <c r="K26" i="2076"/>
  <c r="AF25" i="2076"/>
  <c r="AB25" i="2076"/>
  <c r="Q25" i="2076"/>
  <c r="P25" i="2076"/>
  <c r="AC25" i="2076" s="1"/>
  <c r="AD25" i="2076" s="1"/>
  <c r="O25" i="2076"/>
  <c r="M25" i="2076"/>
  <c r="K25" i="2076"/>
  <c r="AF24" i="2076"/>
  <c r="AB24" i="2076"/>
  <c r="Q24" i="2076"/>
  <c r="P24" i="2076"/>
  <c r="AC24" i="2076" s="1"/>
  <c r="AD24" i="2076" s="1"/>
  <c r="O24" i="2076"/>
  <c r="M24" i="2076"/>
  <c r="K24" i="2076"/>
  <c r="AF23" i="2076"/>
  <c r="AB23" i="2076"/>
  <c r="Q23" i="2076"/>
  <c r="P23" i="2076"/>
  <c r="AC23" i="2076" s="1"/>
  <c r="O23" i="2076"/>
  <c r="M23" i="2076"/>
  <c r="K23" i="2076"/>
  <c r="AF22" i="2076"/>
  <c r="AB22" i="2076"/>
  <c r="Q22" i="2076"/>
  <c r="P22" i="2076"/>
  <c r="AC22" i="2076" s="1"/>
  <c r="O22" i="2076"/>
  <c r="M22" i="2076"/>
  <c r="K22" i="2076"/>
  <c r="AF21" i="2076"/>
  <c r="AB21" i="2076"/>
  <c r="Q21" i="2076"/>
  <c r="P21" i="2076"/>
  <c r="AC21" i="2076" s="1"/>
  <c r="AF20" i="2076"/>
  <c r="AB20" i="2076"/>
  <c r="Q20" i="2076"/>
  <c r="P20" i="2076"/>
  <c r="AC20" i="2076" s="1"/>
  <c r="O20" i="2076"/>
  <c r="M20" i="2076"/>
  <c r="K20" i="2076"/>
  <c r="AF19" i="2076"/>
  <c r="Q19" i="2076"/>
  <c r="O19" i="2076"/>
  <c r="M19" i="2076"/>
  <c r="AF18" i="2076"/>
  <c r="AB18" i="2076"/>
  <c r="Q18" i="2076"/>
  <c r="P18" i="2076"/>
  <c r="AC18" i="2076" s="1"/>
  <c r="O18" i="2076"/>
  <c r="M18" i="2076"/>
  <c r="K18" i="2076"/>
  <c r="AF17" i="2076"/>
  <c r="AB17" i="2076"/>
  <c r="Q17" i="2076"/>
  <c r="P17" i="2076"/>
  <c r="AC17" i="2076" s="1"/>
  <c r="O17" i="2076"/>
  <c r="M17" i="2076"/>
  <c r="K17" i="2076"/>
  <c r="AF16" i="2076"/>
  <c r="AB16" i="2076"/>
  <c r="Q16" i="2076"/>
  <c r="P16" i="2076" s="1"/>
  <c r="AC16" i="2076" s="1"/>
  <c r="M16" i="2076"/>
  <c r="AF15" i="2076"/>
  <c r="AB15" i="2076"/>
  <c r="Q15" i="2076"/>
  <c r="P15" i="2076"/>
  <c r="AC15" i="2076" s="1"/>
  <c r="AD15" i="2076" s="1"/>
  <c r="O15" i="2076"/>
  <c r="M15" i="2076"/>
  <c r="K15" i="2076"/>
  <c r="AF14" i="2076"/>
  <c r="AB14" i="2076"/>
  <c r="Q14" i="2076"/>
  <c r="P14" i="2076"/>
  <c r="AC14" i="2076" s="1"/>
  <c r="O14" i="2076"/>
  <c r="M14" i="2076"/>
  <c r="K14" i="2076"/>
  <c r="AF13" i="2076"/>
  <c r="Q13" i="2076"/>
  <c r="P13" i="2076" s="1"/>
  <c r="AC13" i="2076" s="1"/>
  <c r="O13" i="2076"/>
  <c r="AB13" i="2076"/>
  <c r="AF12" i="2076"/>
  <c r="AB12" i="2076"/>
  <c r="Q12" i="2076"/>
  <c r="O12" i="2076"/>
  <c r="P12" i="2076"/>
  <c r="AC12" i="2076" s="1"/>
  <c r="AF11" i="2076"/>
  <c r="AB11" i="2076"/>
  <c r="Q11" i="2076"/>
  <c r="O11" i="2076"/>
  <c r="M11" i="2076"/>
  <c r="AF10" i="2076"/>
  <c r="AB10" i="2076"/>
  <c r="Q10" i="2076"/>
  <c r="P10" i="2076" s="1"/>
  <c r="AC10" i="2076" s="1"/>
  <c r="O10" i="2076"/>
  <c r="M10" i="2076"/>
  <c r="AF9" i="2076"/>
  <c r="AB9" i="2076"/>
  <c r="Q9" i="2076"/>
  <c r="M9" i="2076"/>
  <c r="AF8" i="2076"/>
  <c r="Q8" i="2076"/>
  <c r="P8" i="2076" s="1"/>
  <c r="AC8" i="2076" s="1"/>
  <c r="AF7" i="2076"/>
  <c r="Q7" i="2076"/>
  <c r="P7" i="2076" s="1"/>
  <c r="AC7" i="2076" s="1"/>
  <c r="O7" i="2076"/>
  <c r="AF6" i="2076"/>
  <c r="AB6" i="2076"/>
  <c r="Q6" i="2076"/>
  <c r="P6" i="2076" s="1"/>
  <c r="O6" i="207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2" i="2075"/>
  <c r="L20" i="2075"/>
  <c r="L17" i="2075"/>
  <c r="K17" i="2075" s="1"/>
  <c r="AF17" i="2075"/>
  <c r="Q17" i="2075"/>
  <c r="O17" i="2075"/>
  <c r="AB17" i="2075"/>
  <c r="L16" i="2075"/>
  <c r="L13" i="2075"/>
  <c r="L12" i="2075"/>
  <c r="K12" i="2075" s="1"/>
  <c r="L9" i="2075"/>
  <c r="M9" i="2075" s="1"/>
  <c r="L8" i="2075"/>
  <c r="K8" i="2075" s="1"/>
  <c r="K22" i="2075"/>
  <c r="K20" i="2075"/>
  <c r="K16" i="2075"/>
  <c r="K7" i="2075"/>
  <c r="K6" i="2075"/>
  <c r="A84" i="2075"/>
  <c r="A85" i="2075" s="1"/>
  <c r="A86" i="2075" s="1"/>
  <c r="A87" i="2075" s="1"/>
  <c r="A88" i="2075" s="1"/>
  <c r="A89" i="2075" s="1"/>
  <c r="AF68" i="2075"/>
  <c r="AF67" i="2075"/>
  <c r="AF70" i="2075" s="1"/>
  <c r="AA29" i="2075"/>
  <c r="Z29" i="2075"/>
  <c r="Y29" i="2075"/>
  <c r="X29" i="2075"/>
  <c r="W29" i="2075"/>
  <c r="V29" i="2075"/>
  <c r="U29" i="2075"/>
  <c r="T29" i="2075"/>
  <c r="S29" i="2075"/>
  <c r="R29" i="2075"/>
  <c r="N29" i="2075"/>
  <c r="J29" i="2075"/>
  <c r="I29" i="2075"/>
  <c r="AF28" i="2075"/>
  <c r="AB28" i="2075"/>
  <c r="Q28" i="2075"/>
  <c r="P28" i="2075"/>
  <c r="AC28" i="2075" s="1"/>
  <c r="O28" i="2075"/>
  <c r="M28" i="2075"/>
  <c r="K28" i="2075"/>
  <c r="AF27" i="2075"/>
  <c r="AB27" i="2075"/>
  <c r="Q27" i="2075"/>
  <c r="P27" i="2075"/>
  <c r="AC27" i="2075" s="1"/>
  <c r="AD27" i="2075" s="1"/>
  <c r="O27" i="2075"/>
  <c r="M27" i="2075"/>
  <c r="K27" i="2075"/>
  <c r="AF26" i="2075"/>
  <c r="AB26" i="2075"/>
  <c r="Q26" i="2075"/>
  <c r="P26" i="2075"/>
  <c r="AC26" i="2075" s="1"/>
  <c r="AD26" i="2075" s="1"/>
  <c r="O26" i="2075"/>
  <c r="M26" i="2075"/>
  <c r="K26" i="2075"/>
  <c r="AF25" i="2075"/>
  <c r="AB25" i="2075"/>
  <c r="Q25" i="2075"/>
  <c r="P25" i="2075"/>
  <c r="AC25" i="2075" s="1"/>
  <c r="AD25" i="2075" s="1"/>
  <c r="O25" i="2075"/>
  <c r="M25" i="2075"/>
  <c r="K25" i="2075"/>
  <c r="AF24" i="2075"/>
  <c r="AB24" i="2075"/>
  <c r="Q24" i="2075"/>
  <c r="P24" i="2075"/>
  <c r="AC24" i="2075" s="1"/>
  <c r="O24" i="2075"/>
  <c r="M24" i="2075"/>
  <c r="K24" i="2075"/>
  <c r="AF23" i="2075"/>
  <c r="AC23" i="2075"/>
  <c r="AD23" i="2075" s="1"/>
  <c r="AB23" i="2075"/>
  <c r="Q23" i="2075"/>
  <c r="P23" i="2075"/>
  <c r="O23" i="2075"/>
  <c r="M23" i="2075"/>
  <c r="K23" i="2075"/>
  <c r="AF22" i="2075"/>
  <c r="Q22" i="2075"/>
  <c r="P22" i="2075"/>
  <c r="AC22" i="2075" s="1"/>
  <c r="AF21" i="2075"/>
  <c r="AB21" i="2075"/>
  <c r="Q21" i="2075"/>
  <c r="P21" i="2075"/>
  <c r="AC21" i="2075" s="1"/>
  <c r="O21" i="2075"/>
  <c r="M21" i="2075"/>
  <c r="K21" i="2075"/>
  <c r="AF20" i="2075"/>
  <c r="AB20" i="2075"/>
  <c r="Q20" i="2075"/>
  <c r="O20" i="2075"/>
  <c r="M20" i="2075"/>
  <c r="P20" i="2075"/>
  <c r="AC20" i="2075" s="1"/>
  <c r="AF19" i="2075"/>
  <c r="AB19" i="2075"/>
  <c r="Q19" i="2075"/>
  <c r="P19" i="2075"/>
  <c r="AC19" i="2075" s="1"/>
  <c r="O19" i="2075"/>
  <c r="M19" i="2075"/>
  <c r="K19" i="2075"/>
  <c r="AF18" i="2075"/>
  <c r="AB18" i="2075"/>
  <c r="Q18" i="2075"/>
  <c r="P18" i="2075"/>
  <c r="AC18" i="2075" s="1"/>
  <c r="O18" i="2075"/>
  <c r="M18" i="2075"/>
  <c r="K18" i="2075"/>
  <c r="AF16" i="2075"/>
  <c r="Q16" i="2075"/>
  <c r="AF15" i="2075"/>
  <c r="AB15" i="2075"/>
  <c r="Q15" i="2075"/>
  <c r="P15" i="2075"/>
  <c r="AC15" i="2075" s="1"/>
  <c r="O15" i="2075"/>
  <c r="M15" i="2075"/>
  <c r="K15" i="2075"/>
  <c r="AF14" i="2075"/>
  <c r="AB14" i="2075"/>
  <c r="Q14" i="2075"/>
  <c r="P14" i="2075"/>
  <c r="AC14" i="2075" s="1"/>
  <c r="O14" i="2075"/>
  <c r="M14" i="2075"/>
  <c r="K14" i="2075"/>
  <c r="AF13" i="2075"/>
  <c r="Q13" i="2075"/>
  <c r="O13" i="2075"/>
  <c r="AF12" i="2075"/>
  <c r="AB12" i="2075"/>
  <c r="Q12" i="2075"/>
  <c r="P12" i="2075"/>
  <c r="AC12" i="2075" s="1"/>
  <c r="O12" i="2075"/>
  <c r="M12" i="2075"/>
  <c r="AF11" i="2075"/>
  <c r="AC11" i="2075"/>
  <c r="AB11" i="2075"/>
  <c r="Q11" i="2075"/>
  <c r="P11" i="2075"/>
  <c r="O11" i="2075"/>
  <c r="M11" i="2075"/>
  <c r="K11" i="2075"/>
  <c r="AF10" i="2075"/>
  <c r="AB10" i="2075"/>
  <c r="Q10" i="2075"/>
  <c r="P10" i="2075"/>
  <c r="AC10" i="2075" s="1"/>
  <c r="O10" i="2075"/>
  <c r="M10" i="2075"/>
  <c r="K10" i="2075"/>
  <c r="AF9" i="2075"/>
  <c r="Q9" i="2075"/>
  <c r="O9" i="2075"/>
  <c r="AF8" i="2075"/>
  <c r="AB8" i="2075"/>
  <c r="Q8" i="2075"/>
  <c r="AF7" i="2075"/>
  <c r="AB7" i="2075"/>
  <c r="Q7" i="2075"/>
  <c r="P7" i="2075"/>
  <c r="AC7" i="2075" s="1"/>
  <c r="O7" i="2075"/>
  <c r="M7" i="2075"/>
  <c r="AF6" i="2075"/>
  <c r="AB6" i="2075"/>
  <c r="Q6" i="2075"/>
  <c r="O6" i="2075"/>
  <c r="M6" i="2075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1" i="2074"/>
  <c r="AB21" i="2074" s="1"/>
  <c r="L19" i="2074"/>
  <c r="AB19" i="2074" s="1"/>
  <c r="K19" i="2074"/>
  <c r="L16" i="2074"/>
  <c r="K16" i="2074"/>
  <c r="L13" i="2074"/>
  <c r="L12" i="2074"/>
  <c r="AB12" i="2074" s="1"/>
  <c r="L9" i="2074"/>
  <c r="K9" i="2074"/>
  <c r="L7" i="2074"/>
  <c r="K7" i="2074" s="1"/>
  <c r="K6" i="2074"/>
  <c r="K20" i="2074"/>
  <c r="K14" i="2074"/>
  <c r="K13" i="2074"/>
  <c r="K12" i="2074"/>
  <c r="K8" i="2074"/>
  <c r="A83" i="2074"/>
  <c r="A84" i="2074" s="1"/>
  <c r="A85" i="2074" s="1"/>
  <c r="A86" i="2074" s="1"/>
  <c r="A87" i="2074" s="1"/>
  <c r="A88" i="2074" s="1"/>
  <c r="AF67" i="2074"/>
  <c r="AF66" i="2074"/>
  <c r="AA28" i="2074"/>
  <c r="Z28" i="2074"/>
  <c r="Y28" i="2074"/>
  <c r="X28" i="2074"/>
  <c r="W28" i="2074"/>
  <c r="V28" i="2074"/>
  <c r="U28" i="2074"/>
  <c r="T28" i="2074"/>
  <c r="S28" i="2074"/>
  <c r="R28" i="2074"/>
  <c r="N28" i="2074"/>
  <c r="J28" i="2074"/>
  <c r="I28" i="2074"/>
  <c r="AF27" i="2074"/>
  <c r="AB27" i="2074"/>
  <c r="Q27" i="2074"/>
  <c r="P27" i="2074"/>
  <c r="AC27" i="2074" s="1"/>
  <c r="O27" i="2074"/>
  <c r="M27" i="2074"/>
  <c r="K27" i="2074"/>
  <c r="AF26" i="2074"/>
  <c r="AB26" i="2074"/>
  <c r="Q26" i="2074"/>
  <c r="P26" i="2074"/>
  <c r="AC26" i="2074" s="1"/>
  <c r="AD26" i="2074" s="1"/>
  <c r="O26" i="2074"/>
  <c r="M26" i="2074"/>
  <c r="K26" i="2074"/>
  <c r="AF25" i="2074"/>
  <c r="AB25" i="2074"/>
  <c r="Q25" i="2074"/>
  <c r="P25" i="2074"/>
  <c r="AC25" i="2074" s="1"/>
  <c r="AD25" i="2074" s="1"/>
  <c r="O25" i="2074"/>
  <c r="M25" i="2074"/>
  <c r="K25" i="2074"/>
  <c r="AF24" i="2074"/>
  <c r="AB24" i="2074"/>
  <c r="Q24" i="2074"/>
  <c r="P24" i="2074"/>
  <c r="AC24" i="2074" s="1"/>
  <c r="AD24" i="2074" s="1"/>
  <c r="O24" i="2074"/>
  <c r="M24" i="2074"/>
  <c r="K24" i="2074"/>
  <c r="AF23" i="2074"/>
  <c r="AB23" i="2074"/>
  <c r="Q23" i="2074"/>
  <c r="P23" i="2074"/>
  <c r="AC23" i="2074" s="1"/>
  <c r="AD23" i="2074" s="1"/>
  <c r="O23" i="2074"/>
  <c r="M23" i="2074"/>
  <c r="K23" i="2074"/>
  <c r="AF22" i="2074"/>
  <c r="AB22" i="2074"/>
  <c r="Q22" i="2074"/>
  <c r="P22" i="2074"/>
  <c r="AC22" i="2074" s="1"/>
  <c r="AD22" i="2074" s="1"/>
  <c r="O22" i="2074"/>
  <c r="M22" i="2074"/>
  <c r="K22" i="2074"/>
  <c r="AF21" i="2074"/>
  <c r="Q21" i="2074"/>
  <c r="P21" i="2074"/>
  <c r="AC21" i="2074" s="1"/>
  <c r="O21" i="2074"/>
  <c r="K21" i="2074"/>
  <c r="AF20" i="2074"/>
  <c r="AB20" i="2074"/>
  <c r="Q20" i="2074"/>
  <c r="O20" i="2074"/>
  <c r="M20" i="2074"/>
  <c r="P20" i="2074"/>
  <c r="AC20" i="2074" s="1"/>
  <c r="AD20" i="2074" s="1"/>
  <c r="AF19" i="2074"/>
  <c r="Q19" i="2074"/>
  <c r="M19" i="2074"/>
  <c r="P19" i="2074"/>
  <c r="AC19" i="2074" s="1"/>
  <c r="AF18" i="2074"/>
  <c r="AB18" i="2074"/>
  <c r="Q18" i="2074"/>
  <c r="P18" i="2074"/>
  <c r="AC18" i="2074" s="1"/>
  <c r="O18" i="2074"/>
  <c r="M18" i="2074"/>
  <c r="K18" i="2074"/>
  <c r="AF17" i="2074"/>
  <c r="AB17" i="2074"/>
  <c r="Q17" i="2074"/>
  <c r="P17" i="2074"/>
  <c r="AC17" i="2074" s="1"/>
  <c r="AD17" i="2074" s="1"/>
  <c r="O17" i="2074"/>
  <c r="M17" i="2074"/>
  <c r="K17" i="2074"/>
  <c r="AF16" i="2074"/>
  <c r="Q16" i="2074"/>
  <c r="P16" i="2074" s="1"/>
  <c r="AC16" i="2074" s="1"/>
  <c r="AF15" i="2074"/>
  <c r="AB15" i="2074"/>
  <c r="Q15" i="2074"/>
  <c r="P15" i="2074"/>
  <c r="AC15" i="2074" s="1"/>
  <c r="O15" i="2074"/>
  <c r="M15" i="2074"/>
  <c r="K15" i="2074"/>
  <c r="AF14" i="2074"/>
  <c r="AB14" i="2074"/>
  <c r="Q14" i="2074"/>
  <c r="P14" i="2074" s="1"/>
  <c r="AC14" i="2074" s="1"/>
  <c r="O14" i="2074"/>
  <c r="M14" i="2074"/>
  <c r="AF13" i="2074"/>
  <c r="Q13" i="2074"/>
  <c r="P13" i="2074"/>
  <c r="AC13" i="2074" s="1"/>
  <c r="O13" i="2074"/>
  <c r="AB13" i="2074"/>
  <c r="AF12" i="2074"/>
  <c r="Q12" i="2074"/>
  <c r="O12" i="2074"/>
  <c r="M12" i="2074"/>
  <c r="AF11" i="2074"/>
  <c r="AB11" i="2074"/>
  <c r="Q11" i="2074"/>
  <c r="P11" i="2074"/>
  <c r="AC11" i="2074" s="1"/>
  <c r="O11" i="2074"/>
  <c r="M11" i="2074"/>
  <c r="K11" i="2074"/>
  <c r="AF10" i="2074"/>
  <c r="AB10" i="2074"/>
  <c r="Q10" i="2074"/>
  <c r="P10" i="2074"/>
  <c r="AC10" i="2074" s="1"/>
  <c r="O10" i="2074"/>
  <c r="M10" i="2074"/>
  <c r="K10" i="2074"/>
  <c r="AF9" i="2074"/>
  <c r="AB9" i="2074"/>
  <c r="Q9" i="2074"/>
  <c r="P9" i="2074" s="1"/>
  <c r="AC9" i="2074" s="1"/>
  <c r="O9" i="2074"/>
  <c r="M9" i="2074"/>
  <c r="AF8" i="2074"/>
  <c r="AB8" i="2074"/>
  <c r="Q8" i="2074"/>
  <c r="P8" i="2074" s="1"/>
  <c r="AC8" i="2074" s="1"/>
  <c r="O8" i="2074"/>
  <c r="M8" i="2074"/>
  <c r="AF7" i="2074"/>
  <c r="Q7" i="2074"/>
  <c r="P7" i="2074"/>
  <c r="AC7" i="2074" s="1"/>
  <c r="AF6" i="2074"/>
  <c r="AB6" i="2074"/>
  <c r="Q6" i="2074"/>
  <c r="P6" i="2074"/>
  <c r="AC6" i="2074" s="1"/>
  <c r="O6" i="2074"/>
  <c r="M6" i="2074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2073"/>
  <c r="L20" i="2073"/>
  <c r="L17" i="2073"/>
  <c r="L14" i="2073"/>
  <c r="K14" i="2073"/>
  <c r="L13" i="2073"/>
  <c r="K13" i="2073" s="1"/>
  <c r="L9" i="2073"/>
  <c r="AF9" i="2073"/>
  <c r="AB9" i="2073"/>
  <c r="Q9" i="2073"/>
  <c r="P9" i="2073" s="1"/>
  <c r="AC9" i="2073" s="1"/>
  <c r="O9" i="2073"/>
  <c r="M9" i="2073"/>
  <c r="K9" i="2073"/>
  <c r="K8" i="2073"/>
  <c r="L7" i="2073"/>
  <c r="K7" i="2073" s="1"/>
  <c r="K21" i="2073"/>
  <c r="K20" i="2073"/>
  <c r="K19" i="2073"/>
  <c r="K17" i="2073"/>
  <c r="K15" i="2073"/>
  <c r="K12" i="2073"/>
  <c r="K11" i="2073"/>
  <c r="K10" i="2073"/>
  <c r="K6" i="2073"/>
  <c r="A84" i="2073"/>
  <c r="A85" i="2073" s="1"/>
  <c r="A86" i="2073" s="1"/>
  <c r="A87" i="2073" s="1"/>
  <c r="A88" i="2073" s="1"/>
  <c r="A89" i="2073" s="1"/>
  <c r="AF68" i="2073"/>
  <c r="AF67" i="2073"/>
  <c r="AF70" i="2073" s="1"/>
  <c r="AA29" i="2073"/>
  <c r="Z29" i="2073"/>
  <c r="Y29" i="2073"/>
  <c r="X29" i="2073"/>
  <c r="W29" i="2073"/>
  <c r="V29" i="2073"/>
  <c r="U29" i="2073"/>
  <c r="T29" i="2073"/>
  <c r="S29" i="2073"/>
  <c r="R29" i="2073"/>
  <c r="N29" i="2073"/>
  <c r="J29" i="2073"/>
  <c r="I29" i="2073"/>
  <c r="AF28" i="2073"/>
  <c r="AB28" i="2073"/>
  <c r="Q28" i="2073"/>
  <c r="P28" i="2073"/>
  <c r="AC28" i="2073" s="1"/>
  <c r="O28" i="2073"/>
  <c r="M28" i="2073"/>
  <c r="K28" i="2073"/>
  <c r="AF27" i="2073"/>
  <c r="AB27" i="2073"/>
  <c r="Q27" i="2073"/>
  <c r="P27" i="2073"/>
  <c r="AC27" i="2073" s="1"/>
  <c r="AD27" i="2073" s="1"/>
  <c r="O27" i="2073"/>
  <c r="M27" i="2073"/>
  <c r="K27" i="2073"/>
  <c r="AF26" i="2073"/>
  <c r="AB26" i="2073"/>
  <c r="Q26" i="2073"/>
  <c r="P26" i="2073"/>
  <c r="AC26" i="2073" s="1"/>
  <c r="AD26" i="2073" s="1"/>
  <c r="O26" i="2073"/>
  <c r="M26" i="2073"/>
  <c r="K26" i="2073"/>
  <c r="AF25" i="2073"/>
  <c r="AB25" i="2073"/>
  <c r="Q25" i="2073"/>
  <c r="P25" i="2073"/>
  <c r="AC25" i="2073" s="1"/>
  <c r="AD25" i="2073" s="1"/>
  <c r="O25" i="2073"/>
  <c r="M25" i="2073"/>
  <c r="K25" i="2073"/>
  <c r="AF24" i="2073"/>
  <c r="AB24" i="2073"/>
  <c r="Q24" i="2073"/>
  <c r="P24" i="2073"/>
  <c r="AC24" i="2073" s="1"/>
  <c r="AD24" i="2073" s="1"/>
  <c r="O24" i="2073"/>
  <c r="M24" i="2073"/>
  <c r="K24" i="2073"/>
  <c r="AF23" i="2073"/>
  <c r="AB23" i="2073"/>
  <c r="Q23" i="2073"/>
  <c r="P23" i="2073"/>
  <c r="AC23" i="2073" s="1"/>
  <c r="AD23" i="2073" s="1"/>
  <c r="O23" i="2073"/>
  <c r="M23" i="2073"/>
  <c r="K23" i="2073"/>
  <c r="AF22" i="2073"/>
  <c r="AB22" i="2073"/>
  <c r="Q22" i="2073"/>
  <c r="P22" i="2073"/>
  <c r="AC22" i="2073" s="1"/>
  <c r="O22" i="2073"/>
  <c r="M22" i="2073"/>
  <c r="K22" i="2073"/>
  <c r="AF21" i="2073"/>
  <c r="Q21" i="2073"/>
  <c r="O21" i="2073"/>
  <c r="AB21" i="2073"/>
  <c r="AF20" i="2073"/>
  <c r="AB20" i="2073"/>
  <c r="Q20" i="2073"/>
  <c r="P20" i="2073"/>
  <c r="AC20" i="2073" s="1"/>
  <c r="O20" i="2073"/>
  <c r="M20" i="2073"/>
  <c r="AF19" i="2073"/>
  <c r="Q19" i="2073"/>
  <c r="P19" i="2073"/>
  <c r="AC19" i="2073" s="1"/>
  <c r="AF18" i="2073"/>
  <c r="AB18" i="2073"/>
  <c r="Q18" i="2073"/>
  <c r="P18" i="2073"/>
  <c r="AC18" i="2073" s="1"/>
  <c r="O18" i="2073"/>
  <c r="M18" i="2073"/>
  <c r="K18" i="2073"/>
  <c r="AF17" i="2073"/>
  <c r="AB17" i="2073"/>
  <c r="Q17" i="2073"/>
  <c r="P17" i="2073" s="1"/>
  <c r="AC17" i="2073" s="1"/>
  <c r="O17" i="2073"/>
  <c r="M17" i="2073"/>
  <c r="AF16" i="2073"/>
  <c r="AC16" i="2073"/>
  <c r="AB16" i="2073"/>
  <c r="Q16" i="2073"/>
  <c r="P16" i="2073"/>
  <c r="O16" i="2073"/>
  <c r="M16" i="2073"/>
  <c r="K16" i="2073"/>
  <c r="AF15" i="2073"/>
  <c r="Q15" i="2073"/>
  <c r="O15" i="2073"/>
  <c r="AB15" i="2073"/>
  <c r="AF14" i="2073"/>
  <c r="AB14" i="2073"/>
  <c r="Q14" i="2073"/>
  <c r="P14" i="2073" s="1"/>
  <c r="AC14" i="2073" s="1"/>
  <c r="O14" i="2073"/>
  <c r="M14" i="2073"/>
  <c r="AF13" i="2073"/>
  <c r="Q13" i="2073"/>
  <c r="P13" i="2073"/>
  <c r="AC13" i="2073" s="1"/>
  <c r="AF12" i="2073"/>
  <c r="AB12" i="2073"/>
  <c r="Q12" i="2073"/>
  <c r="P12" i="2073"/>
  <c r="AC12" i="2073" s="1"/>
  <c r="M12" i="2073"/>
  <c r="O12" i="2073"/>
  <c r="AF11" i="2073"/>
  <c r="Q11" i="2073"/>
  <c r="AB11" i="2073"/>
  <c r="AF10" i="2073"/>
  <c r="AB10" i="2073"/>
  <c r="Q10" i="2073"/>
  <c r="P10" i="2073" s="1"/>
  <c r="AC10" i="2073" s="1"/>
  <c r="O10" i="2073"/>
  <c r="M10" i="2073"/>
  <c r="AF8" i="2073"/>
  <c r="AB8" i="2073"/>
  <c r="Q8" i="2073"/>
  <c r="P8" i="2073" s="1"/>
  <c r="AC8" i="2073" s="1"/>
  <c r="O8" i="2073"/>
  <c r="M8" i="2073"/>
  <c r="AF7" i="2073"/>
  <c r="Q7" i="2073"/>
  <c r="AB7" i="2073"/>
  <c r="AF6" i="2073"/>
  <c r="AB6" i="2073"/>
  <c r="Q6" i="2073"/>
  <c r="P6" i="2073"/>
  <c r="O6" i="2073"/>
  <c r="M6" i="2073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2072"/>
  <c r="L19" i="2072"/>
  <c r="K19" i="2072"/>
  <c r="L18" i="2072"/>
  <c r="K18" i="2072" s="1"/>
  <c r="L16" i="2072"/>
  <c r="L14" i="2072"/>
  <c r="L13" i="2072"/>
  <c r="L12" i="2072"/>
  <c r="L11" i="2072"/>
  <c r="K11" i="2072"/>
  <c r="L10" i="2072"/>
  <c r="K10" i="2072"/>
  <c r="L9" i="2072"/>
  <c r="K8" i="2072"/>
  <c r="L7" i="2072"/>
  <c r="K6" i="2072"/>
  <c r="K20" i="2072"/>
  <c r="K14" i="2072"/>
  <c r="K13" i="2072"/>
  <c r="K12" i="2072"/>
  <c r="K9" i="2072"/>
  <c r="K7" i="2072"/>
  <c r="AD22" i="2082" l="1"/>
  <c r="AD26" i="2082"/>
  <c r="AD21" i="2082"/>
  <c r="AD25" i="2082"/>
  <c r="AD14" i="2082"/>
  <c r="AD18" i="2082"/>
  <c r="AD20" i="2082"/>
  <c r="AD24" i="2082"/>
  <c r="AD13" i="2082"/>
  <c r="AD10" i="2082"/>
  <c r="AD9" i="2082"/>
  <c r="Q28" i="2082"/>
  <c r="AD7" i="2082"/>
  <c r="P28" i="2082"/>
  <c r="AD19" i="2082"/>
  <c r="AD15" i="2082"/>
  <c r="AD17" i="2082"/>
  <c r="AC28" i="2082"/>
  <c r="L28" i="2082"/>
  <c r="O28" i="2082" s="1"/>
  <c r="AD6" i="2082"/>
  <c r="M8" i="2082"/>
  <c r="AB8" i="2082"/>
  <c r="AD8" i="2082" s="1"/>
  <c r="M11" i="2082"/>
  <c r="AB11" i="2082"/>
  <c r="M12" i="2082"/>
  <c r="AB12" i="2082"/>
  <c r="AD12" i="2082" s="1"/>
  <c r="M16" i="2082"/>
  <c r="AB16" i="2082"/>
  <c r="O8" i="2082"/>
  <c r="O11" i="2082"/>
  <c r="O12" i="2082"/>
  <c r="O16" i="2082"/>
  <c r="K28" i="2082"/>
  <c r="P20" i="2081"/>
  <c r="AC20" i="2081" s="1"/>
  <c r="AD20" i="2081" s="1"/>
  <c r="AD17" i="2081"/>
  <c r="O12" i="2081"/>
  <c r="K7" i="2081"/>
  <c r="P12" i="2081"/>
  <c r="AC12" i="2081" s="1"/>
  <c r="AD12" i="2081" s="1"/>
  <c r="AD19" i="2081"/>
  <c r="AD24" i="2081"/>
  <c r="AD28" i="2081"/>
  <c r="AD27" i="2081"/>
  <c r="K13" i="2081"/>
  <c r="M13" i="2081"/>
  <c r="O11" i="2081"/>
  <c r="P11" i="2081"/>
  <c r="AC11" i="2081" s="1"/>
  <c r="AD11" i="2081" s="1"/>
  <c r="AD26" i="2081"/>
  <c r="AD25" i="2081"/>
  <c r="AF70" i="2081"/>
  <c r="Q29" i="2081"/>
  <c r="M7" i="2081"/>
  <c r="AB7" i="2081"/>
  <c r="AD7" i="2081" s="1"/>
  <c r="AD9" i="2081"/>
  <c r="AD15" i="2081"/>
  <c r="AD8" i="2081"/>
  <c r="AD13" i="2081"/>
  <c r="L29" i="2081"/>
  <c r="O29" i="2081" s="1"/>
  <c r="AD6" i="2081"/>
  <c r="M10" i="2081"/>
  <c r="AB10" i="2081"/>
  <c r="K29" i="2081"/>
  <c r="O22" i="2081"/>
  <c r="AD22" i="2081" s="1"/>
  <c r="O10" i="2081"/>
  <c r="P20" i="2080"/>
  <c r="AC20" i="2080" s="1"/>
  <c r="AD17" i="2080"/>
  <c r="Q29" i="2080"/>
  <c r="AD9" i="2080"/>
  <c r="AD12" i="2080"/>
  <c r="AD15" i="2080"/>
  <c r="AD8" i="2080"/>
  <c r="AD10" i="2080"/>
  <c r="K29" i="2080"/>
  <c r="AD14" i="2080"/>
  <c r="AC6" i="2080"/>
  <c r="P7" i="2080"/>
  <c r="AC7" i="2080" s="1"/>
  <c r="AD7" i="2080" s="1"/>
  <c r="M11" i="2080"/>
  <c r="AB11" i="2080"/>
  <c r="AD11" i="2080" s="1"/>
  <c r="O20" i="2080"/>
  <c r="M22" i="2080"/>
  <c r="AB22" i="2080"/>
  <c r="M10" i="2080"/>
  <c r="O11" i="2080"/>
  <c r="M14" i="2080"/>
  <c r="O22" i="2080"/>
  <c r="K22" i="2079"/>
  <c r="M22" i="2079"/>
  <c r="AB11" i="2079"/>
  <c r="M10" i="2079"/>
  <c r="AD18" i="2079"/>
  <c r="AD23" i="2079"/>
  <c r="AD27" i="2079"/>
  <c r="P11" i="2079"/>
  <c r="AC11" i="2079" s="1"/>
  <c r="AD15" i="2079"/>
  <c r="AD17" i="2079"/>
  <c r="AD22" i="2079"/>
  <c r="AD26" i="2079"/>
  <c r="AB10" i="2079"/>
  <c r="AD21" i="2079"/>
  <c r="AD25" i="2079"/>
  <c r="L29" i="2079"/>
  <c r="O29" i="2079" s="1"/>
  <c r="M11" i="2079"/>
  <c r="Q29" i="2079"/>
  <c r="P7" i="2079"/>
  <c r="AC7" i="2079" s="1"/>
  <c r="K7" i="2079"/>
  <c r="K29" i="2079" s="1"/>
  <c r="O7" i="2079"/>
  <c r="AD16" i="2079"/>
  <c r="AD12" i="2079"/>
  <c r="AD8" i="2079"/>
  <c r="P6" i="2079"/>
  <c r="M8" i="2079"/>
  <c r="AB8" i="2079"/>
  <c r="O9" i="2079"/>
  <c r="P10" i="2079"/>
  <c r="AC10" i="2079" s="1"/>
  <c r="AD10" i="2079" s="1"/>
  <c r="M13" i="2079"/>
  <c r="AB13" i="2079"/>
  <c r="AD13" i="2079" s="1"/>
  <c r="O14" i="2079"/>
  <c r="AB20" i="2079"/>
  <c r="M7" i="2079"/>
  <c r="AB7" i="2079"/>
  <c r="P9" i="2079"/>
  <c r="AC9" i="2079" s="1"/>
  <c r="AD9" i="2079" s="1"/>
  <c r="P14" i="2079"/>
  <c r="AC14" i="2079" s="1"/>
  <c r="O20" i="2079"/>
  <c r="M9" i="2079"/>
  <c r="M14" i="2079"/>
  <c r="P13" i="2078"/>
  <c r="AC13" i="2078" s="1"/>
  <c r="AB13" i="2078"/>
  <c r="AD13" i="2078" s="1"/>
  <c r="K13" i="2078"/>
  <c r="Q28" i="2078"/>
  <c r="P9" i="2078"/>
  <c r="AC9" i="2078" s="1"/>
  <c r="K9" i="2078"/>
  <c r="P8" i="2078"/>
  <c r="AC8" i="2078" s="1"/>
  <c r="AD8" i="2078" s="1"/>
  <c r="AB8" i="2078"/>
  <c r="P6" i="2078"/>
  <c r="AD17" i="2078"/>
  <c r="AD20" i="2078"/>
  <c r="AD15" i="2078"/>
  <c r="AD19" i="2078"/>
  <c r="AD9" i="2078"/>
  <c r="AC6" i="2078"/>
  <c r="K28" i="2078"/>
  <c r="P7" i="2078"/>
  <c r="AC7" i="2078" s="1"/>
  <c r="M9" i="2078"/>
  <c r="O10" i="2078"/>
  <c r="AD10" i="2078" s="1"/>
  <c r="P11" i="2078"/>
  <c r="AC11" i="2078" s="1"/>
  <c r="P12" i="2078"/>
  <c r="AC12" i="2078" s="1"/>
  <c r="M16" i="2078"/>
  <c r="AB16" i="2078"/>
  <c r="AD16" i="2078" s="1"/>
  <c r="M21" i="2078"/>
  <c r="AB21" i="2078"/>
  <c r="AD21" i="2078" s="1"/>
  <c r="L28" i="2078"/>
  <c r="O28" i="2078" s="1"/>
  <c r="M7" i="2078"/>
  <c r="AB7" i="2078"/>
  <c r="M11" i="2078"/>
  <c r="AB11" i="2078"/>
  <c r="M12" i="2078"/>
  <c r="AB12" i="2078"/>
  <c r="M10" i="2078"/>
  <c r="M19" i="2078"/>
  <c r="P21" i="2077"/>
  <c r="AC21" i="2077" s="1"/>
  <c r="P19" i="2077"/>
  <c r="AC19" i="2077" s="1"/>
  <c r="K13" i="2077"/>
  <c r="K12" i="2077"/>
  <c r="M11" i="2077"/>
  <c r="AD11" i="2077"/>
  <c r="Q28" i="2077"/>
  <c r="K8" i="2077"/>
  <c r="M8" i="2077"/>
  <c r="P6" i="2077"/>
  <c r="AC6" i="2077" s="1"/>
  <c r="AD14" i="2077"/>
  <c r="AD8" i="2077"/>
  <c r="AD18" i="2077"/>
  <c r="AD20" i="2077"/>
  <c r="AD9" i="2077"/>
  <c r="M7" i="2077"/>
  <c r="AB7" i="2077"/>
  <c r="AD7" i="2077" s="1"/>
  <c r="P12" i="2077"/>
  <c r="AC12" i="2077" s="1"/>
  <c r="AD12" i="2077" s="1"/>
  <c r="M16" i="2077"/>
  <c r="AB16" i="2077"/>
  <c r="O19" i="2077"/>
  <c r="M21" i="2077"/>
  <c r="AB21" i="2077"/>
  <c r="L28" i="2077"/>
  <c r="O28" i="2077" s="1"/>
  <c r="M6" i="2077"/>
  <c r="AB6" i="2077"/>
  <c r="O7" i="2077"/>
  <c r="M13" i="2077"/>
  <c r="AB13" i="2077"/>
  <c r="AD13" i="2077" s="1"/>
  <c r="O16" i="2077"/>
  <c r="O21" i="2077"/>
  <c r="K28" i="2077"/>
  <c r="M9" i="2077"/>
  <c r="M12" i="2077"/>
  <c r="AD22" i="2076"/>
  <c r="AD26" i="2076"/>
  <c r="K6" i="2076"/>
  <c r="AD23" i="2076"/>
  <c r="AD27" i="2076"/>
  <c r="K7" i="2076"/>
  <c r="K28" i="2076" s="1"/>
  <c r="AD12" i="2076"/>
  <c r="M12" i="2076"/>
  <c r="P11" i="2076"/>
  <c r="AC11" i="2076" s="1"/>
  <c r="AD11" i="2076" s="1"/>
  <c r="AD10" i="2076"/>
  <c r="P9" i="2076"/>
  <c r="AC9" i="2076" s="1"/>
  <c r="M7" i="2076"/>
  <c r="AD7" i="2076"/>
  <c r="AD14" i="2076"/>
  <c r="AD18" i="2076"/>
  <c r="AD20" i="2076"/>
  <c r="AD17" i="2076"/>
  <c r="AC6" i="2076"/>
  <c r="AD13" i="2076"/>
  <c r="L28" i="2076"/>
  <c r="O28" i="2076" s="1"/>
  <c r="M8" i="2076"/>
  <c r="AB8" i="2076"/>
  <c r="O9" i="2076"/>
  <c r="AD9" i="2076" s="1"/>
  <c r="O16" i="2076"/>
  <c r="AD16" i="2076" s="1"/>
  <c r="P19" i="2076"/>
  <c r="AC19" i="2076" s="1"/>
  <c r="AD19" i="2076" s="1"/>
  <c r="O21" i="2076"/>
  <c r="AD21" i="2076" s="1"/>
  <c r="Q28" i="2076"/>
  <c r="O8" i="2076"/>
  <c r="M13" i="2076"/>
  <c r="P17" i="2075"/>
  <c r="AC17" i="2075" s="1"/>
  <c r="AD17" i="2075" s="1"/>
  <c r="AD7" i="2075"/>
  <c r="AD24" i="2075"/>
  <c r="O8" i="2075"/>
  <c r="P9" i="2075"/>
  <c r="AC9" i="2075" s="1"/>
  <c r="AB9" i="2075"/>
  <c r="AD15" i="2075"/>
  <c r="P16" i="2075"/>
  <c r="AC16" i="2075" s="1"/>
  <c r="K9" i="2075"/>
  <c r="M8" i="2075"/>
  <c r="P8" i="2075"/>
  <c r="AC8" i="2075" s="1"/>
  <c r="AD8" i="2075" s="1"/>
  <c r="AD14" i="2075"/>
  <c r="AD18" i="2075"/>
  <c r="AD21" i="2075"/>
  <c r="AD28" i="2075"/>
  <c r="P13" i="2075"/>
  <c r="AC13" i="2075" s="1"/>
  <c r="M17" i="2075"/>
  <c r="K13" i="2075"/>
  <c r="K29" i="2075" s="1"/>
  <c r="AD12" i="2075"/>
  <c r="Q29" i="2075"/>
  <c r="AD9" i="2075"/>
  <c r="AD11" i="2075"/>
  <c r="AD10" i="2075"/>
  <c r="AD19" i="2075"/>
  <c r="AD20" i="2075"/>
  <c r="M16" i="2075"/>
  <c r="AB16" i="2075"/>
  <c r="M22" i="2075"/>
  <c r="AB22" i="2075"/>
  <c r="L29" i="2075"/>
  <c r="O29" i="2075" s="1"/>
  <c r="P6" i="2075"/>
  <c r="M13" i="2075"/>
  <c r="AB13" i="2075"/>
  <c r="AD13" i="2075" s="1"/>
  <c r="O16" i="2075"/>
  <c r="O22" i="2075"/>
  <c r="M21" i="2074"/>
  <c r="P12" i="2074"/>
  <c r="AC12" i="2074" s="1"/>
  <c r="AC28" i="2074" s="1"/>
  <c r="AD27" i="2074"/>
  <c r="AF69" i="2074"/>
  <c r="Q28" i="2074"/>
  <c r="AD9" i="2074"/>
  <c r="AD15" i="2074"/>
  <c r="AD21" i="2074"/>
  <c r="AD11" i="2074"/>
  <c r="AD12" i="2074"/>
  <c r="AD13" i="2074"/>
  <c r="AD8" i="2074"/>
  <c r="AD10" i="2074"/>
  <c r="AD14" i="2074"/>
  <c r="AD18" i="2074"/>
  <c r="AD6" i="2074"/>
  <c r="M7" i="2074"/>
  <c r="AB7" i="2074"/>
  <c r="M16" i="2074"/>
  <c r="AB16" i="2074"/>
  <c r="O19" i="2074"/>
  <c r="AD19" i="2074" s="1"/>
  <c r="L28" i="2074"/>
  <c r="O28" i="2074" s="1"/>
  <c r="O7" i="2074"/>
  <c r="M13" i="2074"/>
  <c r="O16" i="2074"/>
  <c r="K28" i="2074"/>
  <c r="AD9" i="2073"/>
  <c r="AD28" i="2073"/>
  <c r="Q29" i="2073"/>
  <c r="AD18" i="2073"/>
  <c r="AD22" i="2073"/>
  <c r="AD8" i="2073"/>
  <c r="AD16" i="2073"/>
  <c r="AD17" i="2073"/>
  <c r="AD20" i="2073"/>
  <c r="AD10" i="2073"/>
  <c r="AD14" i="2073"/>
  <c r="AD12" i="2073"/>
  <c r="O7" i="2073"/>
  <c r="O11" i="2073"/>
  <c r="AC6" i="2073"/>
  <c r="P7" i="2073"/>
  <c r="AC7" i="2073" s="1"/>
  <c r="K29" i="2073"/>
  <c r="P11" i="2073"/>
  <c r="AC11" i="2073" s="1"/>
  <c r="M13" i="2073"/>
  <c r="AB13" i="2073"/>
  <c r="AB29" i="2073" s="1"/>
  <c r="P15" i="2073"/>
  <c r="AC15" i="2073" s="1"/>
  <c r="AD15" i="2073" s="1"/>
  <c r="M19" i="2073"/>
  <c r="AB19" i="2073"/>
  <c r="P21" i="2073"/>
  <c r="AC21" i="2073" s="1"/>
  <c r="AD21" i="2073" s="1"/>
  <c r="L29" i="2073"/>
  <c r="O29" i="2073" s="1"/>
  <c r="O13" i="2073"/>
  <c r="O19" i="2073"/>
  <c r="M7" i="2073"/>
  <c r="M11" i="2073"/>
  <c r="M15" i="2073"/>
  <c r="M21" i="2073"/>
  <c r="O6" i="2072"/>
  <c r="K21" i="2072"/>
  <c r="O21" i="2072"/>
  <c r="K16" i="2072"/>
  <c r="A83" i="2072"/>
  <c r="A84" i="2072" s="1"/>
  <c r="A85" i="2072" s="1"/>
  <c r="A86" i="2072" s="1"/>
  <c r="A87" i="2072" s="1"/>
  <c r="A88" i="2072" s="1"/>
  <c r="AF67" i="2072"/>
  <c r="AF69" i="2072" s="1"/>
  <c r="AF66" i="2072"/>
  <c r="AA28" i="2072"/>
  <c r="Z28" i="2072"/>
  <c r="Y28" i="2072"/>
  <c r="X28" i="2072"/>
  <c r="W28" i="2072"/>
  <c r="V28" i="2072"/>
  <c r="U28" i="2072"/>
  <c r="T28" i="2072"/>
  <c r="S28" i="2072"/>
  <c r="R28" i="2072"/>
  <c r="N28" i="2072"/>
  <c r="J28" i="2072"/>
  <c r="I28" i="2072"/>
  <c r="AF27" i="2072"/>
  <c r="AC27" i="2072"/>
  <c r="AB27" i="2072"/>
  <c r="Q27" i="2072"/>
  <c r="P27" i="2072"/>
  <c r="O27" i="2072"/>
  <c r="M27" i="2072"/>
  <c r="K27" i="2072"/>
  <c r="AF26" i="2072"/>
  <c r="AB26" i="2072"/>
  <c r="Q26" i="2072"/>
  <c r="P26" i="2072"/>
  <c r="AC26" i="2072" s="1"/>
  <c r="O26" i="2072"/>
  <c r="M26" i="2072"/>
  <c r="K26" i="2072"/>
  <c r="AF25" i="2072"/>
  <c r="AB25" i="2072"/>
  <c r="Q25" i="2072"/>
  <c r="P25" i="2072"/>
  <c r="AC25" i="2072" s="1"/>
  <c r="AD25" i="2072" s="1"/>
  <c r="O25" i="2072"/>
  <c r="M25" i="2072"/>
  <c r="K25" i="2072"/>
  <c r="AF24" i="2072"/>
  <c r="AB24" i="2072"/>
  <c r="Q24" i="2072"/>
  <c r="P24" i="2072"/>
  <c r="AC24" i="2072" s="1"/>
  <c r="O24" i="2072"/>
  <c r="M24" i="2072"/>
  <c r="K24" i="2072"/>
  <c r="AF23" i="2072"/>
  <c r="AC23" i="2072"/>
  <c r="AB23" i="2072"/>
  <c r="Q23" i="2072"/>
  <c r="P23" i="2072"/>
  <c r="O23" i="2072"/>
  <c r="M23" i="2072"/>
  <c r="K23" i="2072"/>
  <c r="AF22" i="2072"/>
  <c r="AB22" i="2072"/>
  <c r="Q22" i="2072"/>
  <c r="P22" i="2072"/>
  <c r="AC22" i="2072" s="1"/>
  <c r="AD22" i="2072" s="1"/>
  <c r="O22" i="2072"/>
  <c r="M22" i="2072"/>
  <c r="K22" i="2072"/>
  <c r="AF21" i="2072"/>
  <c r="AB21" i="2072"/>
  <c r="Q21" i="2072"/>
  <c r="P21" i="2072"/>
  <c r="AC21" i="2072" s="1"/>
  <c r="M21" i="2072"/>
  <c r="AF20" i="2072"/>
  <c r="Q20" i="2072"/>
  <c r="O20" i="2072"/>
  <c r="AF19" i="2072"/>
  <c r="Q19" i="2072"/>
  <c r="P19" i="2072" s="1"/>
  <c r="AC19" i="2072" s="1"/>
  <c r="AB19" i="2072"/>
  <c r="AF18" i="2072"/>
  <c r="Q18" i="2072"/>
  <c r="P18" i="2072" s="1"/>
  <c r="AC18" i="2072" s="1"/>
  <c r="O18" i="2072"/>
  <c r="AB18" i="2072"/>
  <c r="AF17" i="2072"/>
  <c r="AB17" i="2072"/>
  <c r="Q17" i="2072"/>
  <c r="P17" i="2072"/>
  <c r="AC17" i="2072" s="1"/>
  <c r="O17" i="2072"/>
  <c r="M17" i="2072"/>
  <c r="K17" i="2072"/>
  <c r="AF16" i="2072"/>
  <c r="Q16" i="2072"/>
  <c r="P16" i="2072" s="1"/>
  <c r="AC16" i="2072" s="1"/>
  <c r="AB16" i="2072"/>
  <c r="AF15" i="2072"/>
  <c r="AB15" i="2072"/>
  <c r="Q15" i="2072"/>
  <c r="P15" i="2072"/>
  <c r="AC15" i="2072" s="1"/>
  <c r="O15" i="2072"/>
  <c r="M15" i="2072"/>
  <c r="K15" i="2072"/>
  <c r="AF14" i="2072"/>
  <c r="AB14" i="2072"/>
  <c r="Q14" i="2072"/>
  <c r="P14" i="2072"/>
  <c r="AC14" i="2072" s="1"/>
  <c r="O14" i="2072"/>
  <c r="M14" i="2072"/>
  <c r="AF13" i="2072"/>
  <c r="Q13" i="2072"/>
  <c r="P13" i="2072"/>
  <c r="AC13" i="2072" s="1"/>
  <c r="O13" i="2072"/>
  <c r="AB13" i="2072"/>
  <c r="AF12" i="2072"/>
  <c r="AB12" i="2072"/>
  <c r="Q12" i="2072"/>
  <c r="O12" i="2072"/>
  <c r="M12" i="2072"/>
  <c r="P12" i="2072"/>
  <c r="AC12" i="2072" s="1"/>
  <c r="AF11" i="2072"/>
  <c r="AB11" i="2072"/>
  <c r="Q11" i="2072"/>
  <c r="P11" i="2072"/>
  <c r="AC11" i="2072" s="1"/>
  <c r="O11" i="2072"/>
  <c r="M11" i="2072"/>
  <c r="AF10" i="2072"/>
  <c r="AB10" i="2072"/>
  <c r="Q10" i="2072"/>
  <c r="P10" i="2072"/>
  <c r="AC10" i="2072" s="1"/>
  <c r="O10" i="2072"/>
  <c r="M10" i="2072"/>
  <c r="AF9" i="2072"/>
  <c r="Q9" i="2072"/>
  <c r="O9" i="2072"/>
  <c r="AF8" i="2072"/>
  <c r="Q8" i="2072"/>
  <c r="P8" i="2072" s="1"/>
  <c r="AC8" i="2072" s="1"/>
  <c r="AB8" i="2072"/>
  <c r="AF7" i="2072"/>
  <c r="Q7" i="2072"/>
  <c r="P7" i="2072" s="1"/>
  <c r="AC7" i="2072" s="1"/>
  <c r="O7" i="2072"/>
  <c r="AB7" i="2072"/>
  <c r="AF6" i="2072"/>
  <c r="AB6" i="2072"/>
  <c r="Q6" i="2072"/>
  <c r="P6" i="2072" s="1"/>
  <c r="AC6" i="2072" s="1"/>
  <c r="M6" i="2072"/>
  <c r="M28" i="2082" l="1"/>
  <c r="AD16" i="2082"/>
  <c r="AD11" i="2082"/>
  <c r="AB28" i="2082"/>
  <c r="M29" i="2081"/>
  <c r="AC29" i="2081"/>
  <c r="P29" i="2081"/>
  <c r="AD10" i="2081"/>
  <c r="AD29" i="2081" s="1"/>
  <c r="AE14" i="2081" s="1"/>
  <c r="AB29" i="2081"/>
  <c r="AD20" i="2080"/>
  <c r="M29" i="2080"/>
  <c r="AD22" i="2080"/>
  <c r="P29" i="2080"/>
  <c r="AC29" i="2080"/>
  <c r="AB29" i="2080"/>
  <c r="AB29" i="2079"/>
  <c r="AD11" i="2079"/>
  <c r="AD7" i="2079"/>
  <c r="M29" i="2079"/>
  <c r="AC6" i="2079"/>
  <c r="P29" i="2079"/>
  <c r="AD20" i="2079"/>
  <c r="AD14" i="2079"/>
  <c r="M28" i="2078"/>
  <c r="AB28" i="2078"/>
  <c r="AD11" i="2078"/>
  <c r="AD7" i="2078"/>
  <c r="P28" i="2078"/>
  <c r="AD12" i="2078"/>
  <c r="AC28" i="2078"/>
  <c r="AD6" i="2078"/>
  <c r="AD21" i="2077"/>
  <c r="AD19" i="2077"/>
  <c r="AD6" i="2077"/>
  <c r="M28" i="2077"/>
  <c r="AD16" i="2077"/>
  <c r="AD28" i="2077"/>
  <c r="P28" i="2077"/>
  <c r="AC28" i="2077"/>
  <c r="AB28" i="2077"/>
  <c r="AD8" i="2076"/>
  <c r="M28" i="2076"/>
  <c r="AB28" i="2076"/>
  <c r="AD6" i="2076"/>
  <c r="AD28" i="2076" s="1"/>
  <c r="AC28" i="2076"/>
  <c r="P28" i="2076"/>
  <c r="AD22" i="2075"/>
  <c r="AB29" i="2075"/>
  <c r="AD16" i="2075"/>
  <c r="M29" i="2075"/>
  <c r="P29" i="2075"/>
  <c r="AC6" i="2075"/>
  <c r="P28" i="2074"/>
  <c r="AD16" i="2074"/>
  <c r="AD7" i="2074"/>
  <c r="AB28" i="2074"/>
  <c r="M28" i="2074"/>
  <c r="AD7" i="2073"/>
  <c r="P29" i="2073"/>
  <c r="AD19" i="2073"/>
  <c r="M29" i="2073"/>
  <c r="AD13" i="2073"/>
  <c r="AD11" i="2073"/>
  <c r="AD6" i="2073"/>
  <c r="AC29" i="2073"/>
  <c r="Q28" i="2072"/>
  <c r="AD27" i="2072"/>
  <c r="AD12" i="2072"/>
  <c r="AD23" i="2072"/>
  <c r="AD26" i="2072"/>
  <c r="AD11" i="2072"/>
  <c r="AD10" i="2072"/>
  <c r="AD24" i="2072"/>
  <c r="AD15" i="2072"/>
  <c r="AD17" i="2072"/>
  <c r="AD6" i="2072"/>
  <c r="AD14" i="2072"/>
  <c r="AD21" i="2072"/>
  <c r="AD7" i="2072"/>
  <c r="AD18" i="2072"/>
  <c r="AD13" i="2072"/>
  <c r="M7" i="2072"/>
  <c r="O8" i="2072"/>
  <c r="AD8" i="2072" s="1"/>
  <c r="P9" i="2072"/>
  <c r="AC9" i="2072" s="1"/>
  <c r="M13" i="2072"/>
  <c r="O16" i="2072"/>
  <c r="AD16" i="2072" s="1"/>
  <c r="M18" i="2072"/>
  <c r="O19" i="2072"/>
  <c r="AD19" i="2072" s="1"/>
  <c r="P20" i="2072"/>
  <c r="AC20" i="2072" s="1"/>
  <c r="L28" i="2072"/>
  <c r="O28" i="2072" s="1"/>
  <c r="M9" i="2072"/>
  <c r="AB9" i="2072"/>
  <c r="M20" i="2072"/>
  <c r="AB20" i="2072"/>
  <c r="M8" i="2072"/>
  <c r="M16" i="2072"/>
  <c r="M19" i="2072"/>
  <c r="AD28" i="2082" l="1"/>
  <c r="AE12" i="2082" s="1"/>
  <c r="AE28" i="2081"/>
  <c r="AE26" i="2081"/>
  <c r="AE24" i="2081"/>
  <c r="AE22" i="2081"/>
  <c r="AE19" i="2081"/>
  <c r="AE16" i="2081"/>
  <c r="AE13" i="2081"/>
  <c r="AE8" i="2081"/>
  <c r="AE20" i="2081"/>
  <c r="AE17" i="2081"/>
  <c r="AE6" i="2081"/>
  <c r="AE27" i="2081"/>
  <c r="AE25" i="2081"/>
  <c r="AE23" i="2081"/>
  <c r="AE18" i="2081"/>
  <c r="AE15" i="2081"/>
  <c r="AE12" i="2081"/>
  <c r="AE11" i="2081"/>
  <c r="AE9" i="2081"/>
  <c r="AE7" i="2081"/>
  <c r="AE21" i="2081"/>
  <c r="AE10" i="2081"/>
  <c r="AD29" i="2080"/>
  <c r="AC29" i="2079"/>
  <c r="AD6" i="2079"/>
  <c r="AD29" i="2079" s="1"/>
  <c r="AE11" i="2079" s="1"/>
  <c r="AD28" i="2078"/>
  <c r="AE27" i="2077"/>
  <c r="AE19" i="2077"/>
  <c r="AE14" i="2077"/>
  <c r="AE11" i="2077"/>
  <c r="AE8" i="2077"/>
  <c r="AE10" i="2077"/>
  <c r="AE26" i="2077"/>
  <c r="AE24" i="2077"/>
  <c r="AE22" i="2077"/>
  <c r="AE17" i="2077"/>
  <c r="AE12" i="2077"/>
  <c r="AE9" i="2077"/>
  <c r="AE23" i="2077"/>
  <c r="AE21" i="2077"/>
  <c r="AE18" i="2077"/>
  <c r="AE7" i="2077"/>
  <c r="AE20" i="2077"/>
  <c r="AE15" i="2077"/>
  <c r="AE13" i="2077"/>
  <c r="AE6" i="2077"/>
  <c r="AE25" i="2077"/>
  <c r="AE16" i="2077"/>
  <c r="AE27" i="2076"/>
  <c r="AE25" i="2076"/>
  <c r="AE23" i="2076"/>
  <c r="AE21" i="2076"/>
  <c r="AE18" i="2076"/>
  <c r="AE16" i="2076"/>
  <c r="AE14" i="2076"/>
  <c r="AE11" i="2076"/>
  <c r="AE9" i="2076"/>
  <c r="AE6" i="2076"/>
  <c r="AE19" i="2076"/>
  <c r="AE12" i="2076"/>
  <c r="AE8" i="2076"/>
  <c r="AE26" i="2076"/>
  <c r="AE24" i="2076"/>
  <c r="AE22" i="2076"/>
  <c r="AE17" i="2076"/>
  <c r="AE15" i="2076"/>
  <c r="AE13" i="2076"/>
  <c r="AE10" i="2076"/>
  <c r="AE7" i="2076"/>
  <c r="AE20" i="2076"/>
  <c r="AC29" i="2075"/>
  <c r="AD6" i="2075"/>
  <c r="AD29" i="2075" s="1"/>
  <c r="AE17" i="2075" s="1"/>
  <c r="AD28" i="2074"/>
  <c r="AE27" i="2074" s="1"/>
  <c r="AD29" i="2073"/>
  <c r="AE9" i="2073" s="1"/>
  <c r="AD9" i="2072"/>
  <c r="M28" i="2072"/>
  <c r="P28" i="2072"/>
  <c r="K28" i="2072"/>
  <c r="AD20" i="2072"/>
  <c r="AB28" i="2072"/>
  <c r="AE16" i="2082" l="1"/>
  <c r="AE15" i="2082"/>
  <c r="AE26" i="2082"/>
  <c r="AE18" i="2082"/>
  <c r="AE13" i="2082"/>
  <c r="AE23" i="2082"/>
  <c r="AE9" i="2082"/>
  <c r="AE7" i="2082"/>
  <c r="AE20" i="2082"/>
  <c r="AE8" i="2082"/>
  <c r="AE6" i="2082"/>
  <c r="AE14" i="2082"/>
  <c r="AE25" i="2082"/>
  <c r="AE24" i="2082"/>
  <c r="AE21" i="2082"/>
  <c r="AE10" i="2082"/>
  <c r="AE22" i="2082"/>
  <c r="AE11" i="2082"/>
  <c r="AE17" i="2082"/>
  <c r="AE19" i="2082"/>
  <c r="AE27" i="2082"/>
  <c r="AE26" i="2080"/>
  <c r="AE21" i="2080"/>
  <c r="AE7" i="2080"/>
  <c r="AE10" i="2080"/>
  <c r="AE12" i="2080"/>
  <c r="AE16" i="2080"/>
  <c r="AE13" i="2080"/>
  <c r="AE25" i="2080"/>
  <c r="AE27" i="2080"/>
  <c r="AE20" i="2080"/>
  <c r="AE18" i="2080"/>
  <c r="AE8" i="2080"/>
  <c r="AE6" i="2080"/>
  <c r="AE19" i="2080"/>
  <c r="AE17" i="2080"/>
  <c r="AE22" i="2080"/>
  <c r="AE24" i="2080"/>
  <c r="AE28" i="2080"/>
  <c r="AE14" i="2080"/>
  <c r="AE9" i="2080"/>
  <c r="AE23" i="2080"/>
  <c r="AE15" i="2080"/>
  <c r="AE11" i="2080"/>
  <c r="AE28" i="2079"/>
  <c r="AE26" i="2079"/>
  <c r="AE24" i="2079"/>
  <c r="AE22" i="2079"/>
  <c r="AE20" i="2079"/>
  <c r="AE13" i="2079"/>
  <c r="AE12" i="2079"/>
  <c r="AE8" i="2079"/>
  <c r="AE18" i="2079"/>
  <c r="AE16" i="2079"/>
  <c r="AE14" i="2079"/>
  <c r="AE9" i="2079"/>
  <c r="AE27" i="2079"/>
  <c r="AE25" i="2079"/>
  <c r="AE23" i="2079"/>
  <c r="AE21" i="2079"/>
  <c r="AE10" i="2079"/>
  <c r="AE6" i="2079"/>
  <c r="AE19" i="2079"/>
  <c r="AE17" i="2079"/>
  <c r="AE15" i="2079"/>
  <c r="AE7" i="2079"/>
  <c r="AE27" i="2078"/>
  <c r="AE25" i="2078"/>
  <c r="AE23" i="2078"/>
  <c r="AE21" i="2078"/>
  <c r="AE18" i="2078"/>
  <c r="AE16" i="2078"/>
  <c r="AE9" i="2078"/>
  <c r="AE19" i="2078"/>
  <c r="AE14" i="2078"/>
  <c r="AE10" i="2078"/>
  <c r="AE6" i="2078"/>
  <c r="AE26" i="2078"/>
  <c r="AE24" i="2078"/>
  <c r="AE22" i="2078"/>
  <c r="AE17" i="2078"/>
  <c r="AE12" i="2078"/>
  <c r="AE11" i="2078"/>
  <c r="AE7" i="2078"/>
  <c r="AE20" i="2078"/>
  <c r="AE15" i="2078"/>
  <c r="AE13" i="2078"/>
  <c r="AE8" i="2078"/>
  <c r="AE20" i="2075"/>
  <c r="AE14" i="2075"/>
  <c r="AE11" i="2075"/>
  <c r="AE9" i="2075"/>
  <c r="AE6" i="2075"/>
  <c r="AE28" i="2075"/>
  <c r="AE19" i="2075"/>
  <c r="AE8" i="2075"/>
  <c r="AE27" i="2075"/>
  <c r="AE25" i="2075"/>
  <c r="AE23" i="2075"/>
  <c r="AE18" i="2075"/>
  <c r="AE12" i="2075"/>
  <c r="AE7" i="2075"/>
  <c r="AE21" i="2075"/>
  <c r="AE15" i="2075"/>
  <c r="AE13" i="2075"/>
  <c r="AE10" i="2075"/>
  <c r="AE26" i="2075"/>
  <c r="AE24" i="2075"/>
  <c r="AE22" i="2075"/>
  <c r="AE16" i="2075"/>
  <c r="AE13" i="2074"/>
  <c r="AE17" i="2074"/>
  <c r="AE26" i="2074"/>
  <c r="AE19" i="2074"/>
  <c r="AE21" i="2074"/>
  <c r="AE15" i="2074"/>
  <c r="AE9" i="2074"/>
  <c r="AE7" i="2074"/>
  <c r="AE23" i="2074"/>
  <c r="AE20" i="2074"/>
  <c r="AE6" i="2074"/>
  <c r="AE8" i="2074"/>
  <c r="AE22" i="2074"/>
  <c r="AE11" i="2074"/>
  <c r="AE16" i="2074"/>
  <c r="AE25" i="2074"/>
  <c r="AE10" i="2074"/>
  <c r="AE12" i="2074"/>
  <c r="AE24" i="2074"/>
  <c r="AE14" i="2074"/>
  <c r="AE18" i="2074"/>
  <c r="AE28" i="2073"/>
  <c r="AE20" i="2073"/>
  <c r="AE17" i="2073"/>
  <c r="AE14" i="2073"/>
  <c r="AE10" i="2073"/>
  <c r="AE6" i="2073"/>
  <c r="AE27" i="2073"/>
  <c r="AE25" i="2073"/>
  <c r="AE23" i="2073"/>
  <c r="AE21" i="2073"/>
  <c r="AE15" i="2073"/>
  <c r="AE11" i="2073"/>
  <c r="AE7" i="2073"/>
  <c r="AE18" i="2073"/>
  <c r="AE12" i="2073"/>
  <c r="AE26" i="2073"/>
  <c r="AE24" i="2073"/>
  <c r="AE22" i="2073"/>
  <c r="AE19" i="2073"/>
  <c r="AE16" i="2073"/>
  <c r="AE13" i="2073"/>
  <c r="AE8" i="2073"/>
  <c r="AC28" i="2072"/>
  <c r="AD28" i="2072"/>
  <c r="AE27" i="2072" l="1"/>
  <c r="AE25" i="2072"/>
  <c r="AE23" i="2072"/>
  <c r="AE21" i="2072"/>
  <c r="AE18" i="2072"/>
  <c r="AE15" i="2072"/>
  <c r="AE13" i="2072"/>
  <c r="AE10" i="2072"/>
  <c r="AE7" i="2072"/>
  <c r="AE19" i="2072"/>
  <c r="AE16" i="2072"/>
  <c r="AE8" i="2072"/>
  <c r="AE26" i="2072"/>
  <c r="AE24" i="2072"/>
  <c r="AE22" i="2072"/>
  <c r="AE20" i="2072"/>
  <c r="AE14" i="2072"/>
  <c r="AE11" i="2072"/>
  <c r="AE9" i="2072"/>
  <c r="AE17" i="2072"/>
  <c r="AE12" i="2072"/>
  <c r="AE6" i="2072"/>
  <c r="AG20" i="16" l="1"/>
  <c r="AG12" i="16"/>
  <c r="AG4" i="16"/>
  <c r="AG3" i="16"/>
  <c r="AG8" i="16" l="1"/>
  <c r="AG16" i="16"/>
  <c r="AG24" i="16"/>
  <c r="AG7" i="16"/>
  <c r="AG11" i="16"/>
  <c r="AG15" i="16"/>
  <c r="AG19" i="16"/>
  <c r="AG23" i="16"/>
  <c r="AG6" i="16"/>
  <c r="AG10" i="16"/>
  <c r="AG14" i="16"/>
  <c r="AG18" i="16"/>
  <c r="AG22" i="16"/>
  <c r="AG5" i="16"/>
  <c r="AG9" i="16"/>
  <c r="AG13" i="16"/>
  <c r="AG17" i="16"/>
  <c r="AG21" i="16"/>
  <c r="AG25" i="16"/>
</calcChain>
</file>

<file path=xl/sharedStrings.xml><?xml version="1.0" encoding="utf-8"?>
<sst xmlns="http://schemas.openxmlformats.org/spreadsheetml/2006/main" count="6146" uniqueCount="922">
  <si>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</si>
  <si>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</si>
  <si>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</si>
  <si>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</si>
  <si>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</si>
  <si>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</si>
  <si>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</si>
  <si>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</si>
  <si>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</si>
  <si>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</si>
  <si>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</si>
  <si>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</si>
  <si>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</si>
  <si>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</si>
  <si>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</si>
  <si>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</si>
  <si>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</si>
  <si>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</si>
  <si>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</si>
  <si>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</si>
  <si>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</si>
  <si>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</si>
  <si>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</si>
  <si>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</si>
  <si>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</si>
  <si>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</si>
  <si>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</si>
  <si>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</si>
  <si>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</si>
  <si>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</si>
  <si>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</si>
  <si>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</si>
  <si>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</si>
  <si>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</si>
  <si>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</si>
  <si>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</si>
  <si>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</si>
  <si>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</si>
  <si>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</si>
  <si>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</si>
  <si>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</si>
  <si>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</si>
  <si>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</si>
  <si>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</si>
  <si>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</si>
  <si>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</si>
  <si>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</si>
  <si>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</si>
  <si>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</si>
  <si>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</si>
  <si>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</si>
  <si>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</si>
  <si>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</si>
  <si>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</si>
  <si>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</si>
  <si>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</si>
  <si>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</si>
  <si>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</si>
  <si>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</si>
  <si>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</si>
  <si>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</si>
  <si>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</si>
  <si>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</si>
  <si>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</si>
  <si>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</si>
  <si>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</si>
  <si>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</si>
  <si>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</si>
  <si>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</si>
  <si>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</si>
  <si>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</si>
  <si>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</si>
  <si>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</si>
  <si>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</si>
  <si>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</si>
  <si>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</si>
  <si>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</si>
  <si>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</si>
  <si>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</si>
  <si>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</si>
  <si>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</si>
  <si>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</si>
  <si>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</si>
  <si>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</si>
  <si>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</si>
  <si>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</si>
  <si>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</si>
  <si>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</si>
  <si>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</si>
  <si>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</si>
  <si>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</si>
  <si>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</si>
  <si>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</si>
  <si>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</si>
  <si>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</si>
  <si>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</si>
  <si>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</si>
  <si>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</si>
  <si>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</si>
  <si>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</si>
  <si>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</si>
  <si>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</si>
  <si>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</si>
  <si>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</si>
  <si>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</si>
  <si>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</si>
  <si>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</si>
  <si>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</si>
  <si>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</si>
  <si>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</si>
  <si>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</si>
  <si>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</si>
  <si>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</si>
  <si>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</si>
  <si>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</si>
  <si>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</si>
  <si>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</si>
  <si>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</si>
  <si>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</si>
  <si>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</si>
  <si>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품  명</t>
    <phoneticPr fontId="2" type="noConversion"/>
  </si>
  <si>
    <t>COVER</t>
    <phoneticPr fontId="2" type="noConversion"/>
  </si>
  <si>
    <t>발주분양산</t>
    <phoneticPr fontId="2" type="noConversion"/>
  </si>
  <si>
    <t>SF2255</t>
    <phoneticPr fontId="2" type="noConversion"/>
  </si>
  <si>
    <t>SGF2030</t>
    <phoneticPr fontId="2" type="noConversion"/>
  </si>
  <si>
    <t>SGF2033 N/P</t>
    <phoneticPr fontId="2" type="noConversion"/>
  </si>
  <si>
    <t>K-AR3533-1A</t>
    <phoneticPr fontId="2" type="noConversion"/>
  </si>
  <si>
    <t>K-AR3464-1A</t>
    <phoneticPr fontId="2" type="noConversion"/>
  </si>
  <si>
    <t>ACTUATOR</t>
    <phoneticPr fontId="2" type="noConversion"/>
  </si>
  <si>
    <t>HICON</t>
    <phoneticPr fontId="2" type="noConversion"/>
  </si>
  <si>
    <t>JD4901</t>
    <phoneticPr fontId="2" type="noConversion"/>
  </si>
  <si>
    <t>SLIDER</t>
    <phoneticPr fontId="2" type="noConversion"/>
  </si>
  <si>
    <t>KR6463-GA180PLA</t>
  </si>
  <si>
    <t>EEEEEEEEEEEEEEEEEEEEEEEEE</t>
    <phoneticPr fontId="2" type="noConversion"/>
  </si>
  <si>
    <t>K-AR3532-1A</t>
    <phoneticPr fontId="2" type="noConversion"/>
  </si>
  <si>
    <t>31호기</t>
    <phoneticPr fontId="2" type="noConversion"/>
  </si>
  <si>
    <t>32호기</t>
    <phoneticPr fontId="2" type="noConversion"/>
  </si>
  <si>
    <t>33호기</t>
    <phoneticPr fontId="2" type="noConversion"/>
  </si>
  <si>
    <t>34호기</t>
    <phoneticPr fontId="2" type="noConversion"/>
  </si>
  <si>
    <t>35호기</t>
    <phoneticPr fontId="2" type="noConversion"/>
  </si>
  <si>
    <t>36호기</t>
    <phoneticPr fontId="2" type="noConversion"/>
  </si>
  <si>
    <t>7301</t>
    <phoneticPr fontId="2" type="noConversion"/>
  </si>
  <si>
    <t>라인</t>
    <phoneticPr fontId="2" type="noConversion"/>
  </si>
  <si>
    <t>LCP ESD</t>
    <phoneticPr fontId="2" type="noConversion"/>
  </si>
  <si>
    <t>SGF2033</t>
    <phoneticPr fontId="2" type="noConversion"/>
  </si>
  <si>
    <t>SF2255 I/V</t>
    <phoneticPr fontId="2" type="noConversion"/>
  </si>
  <si>
    <t>ADAPTER</t>
    <phoneticPr fontId="2" type="noConversion"/>
  </si>
  <si>
    <t>LATCH</t>
    <phoneticPr fontId="2" type="noConversion"/>
  </si>
  <si>
    <t>8301</t>
    <phoneticPr fontId="2" type="noConversion"/>
  </si>
  <si>
    <t>치수확인후양산</t>
    <phoneticPr fontId="2" type="noConversion"/>
  </si>
  <si>
    <t>9</t>
    <phoneticPr fontId="2" type="noConversion"/>
  </si>
  <si>
    <t>3</t>
    <phoneticPr fontId="2" type="noConversion"/>
  </si>
  <si>
    <t>1</t>
    <phoneticPr fontId="2" type="noConversion"/>
  </si>
  <si>
    <t>New Pattern Cover-2</t>
    <phoneticPr fontId="2" type="noConversion"/>
  </si>
  <si>
    <t>STOPPER</t>
    <phoneticPr fontId="2" type="noConversion"/>
  </si>
  <si>
    <t>2829HQN05-24-F3</t>
    <phoneticPr fontId="2" type="noConversion"/>
  </si>
  <si>
    <t>FLOATING</t>
    <phoneticPr fontId="2" type="noConversion"/>
  </si>
  <si>
    <t>BOTTOM</t>
    <phoneticPr fontId="2" type="noConversion"/>
  </si>
  <si>
    <t>AMB1935A-KAA-R1</t>
    <phoneticPr fontId="2" type="noConversion"/>
  </si>
  <si>
    <t>30P</t>
    <phoneticPr fontId="2" type="noConversion"/>
  </si>
  <si>
    <t>KR6170BD740UA</t>
    <phoneticPr fontId="2" type="noConversion"/>
  </si>
  <si>
    <t>SGP2030R</t>
    <phoneticPr fontId="2" type="noConversion"/>
  </si>
  <si>
    <t>PLATE</t>
    <phoneticPr fontId="2" type="noConversion"/>
  </si>
  <si>
    <t>HRCS-00C13-N</t>
    <phoneticPr fontId="2" type="noConversion"/>
  </si>
  <si>
    <t>KR6458BB456PMA</t>
    <phoneticPr fontId="2" type="noConversion"/>
  </si>
  <si>
    <t>GN2330</t>
    <phoneticPr fontId="2" type="noConversion"/>
  </si>
  <si>
    <t>AMB0240A-KAA-R2</t>
    <phoneticPr fontId="2" type="noConversion"/>
  </si>
  <si>
    <t>AAM0818D-KAB-R3</t>
    <phoneticPr fontId="2" type="noConversion"/>
  </si>
  <si>
    <t>K-AR3534-1A</t>
    <phoneticPr fontId="2" type="noConversion"/>
  </si>
  <si>
    <t>K-AR3531-1A</t>
    <phoneticPr fontId="2" type="noConversion"/>
  </si>
  <si>
    <t>LEAD GUIDER</t>
    <phoneticPr fontId="2" type="noConversion"/>
  </si>
  <si>
    <t>AMB0172A-KAA-R3</t>
    <phoneticPr fontId="2" type="noConversion"/>
  </si>
  <si>
    <t>400H-ABG2622X</t>
    <phoneticPr fontId="2" type="noConversion"/>
  </si>
  <si>
    <t>OKINS</t>
    <phoneticPr fontId="2" type="noConversion"/>
  </si>
  <si>
    <t>SW-003205</t>
    <phoneticPr fontId="2" type="noConversion"/>
  </si>
  <si>
    <t>ODT</t>
    <phoneticPr fontId="2" type="noConversion"/>
  </si>
  <si>
    <t>CASE</t>
    <phoneticPr fontId="2" type="noConversion"/>
  </si>
  <si>
    <t>PC B/K</t>
    <phoneticPr fontId="2" type="noConversion"/>
  </si>
  <si>
    <t>AMB07U1A-KAA-R5</t>
    <phoneticPr fontId="2" type="noConversion"/>
  </si>
  <si>
    <t>2829HQN05-24-B1</t>
    <phoneticPr fontId="2" type="noConversion"/>
  </si>
  <si>
    <t>3</t>
    <phoneticPr fontId="2" type="noConversion"/>
  </si>
  <si>
    <t>5</t>
    <phoneticPr fontId="2" type="noConversion"/>
  </si>
  <si>
    <t>수리</t>
    <phoneticPr fontId="2" type="noConversion"/>
  </si>
  <si>
    <t>MCS</t>
    <phoneticPr fontId="2" type="noConversion"/>
  </si>
  <si>
    <t>수정</t>
    <phoneticPr fontId="2" type="noConversion"/>
  </si>
  <si>
    <t>6</t>
    <phoneticPr fontId="2" type="noConversion"/>
  </si>
  <si>
    <r>
      <t>2021년 08월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</si>
  <si>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08월 호기별 가동현황</t>
    <phoneticPr fontId="2" type="noConversion"/>
  </si>
  <si>
    <t>2829HQN05-24-F3</t>
    <phoneticPr fontId="2" type="noConversion"/>
  </si>
  <si>
    <t>K-AR3550-2B</t>
    <phoneticPr fontId="2" type="noConversion"/>
  </si>
  <si>
    <t>HT00-M64A4-8</t>
    <phoneticPr fontId="2" type="noConversion"/>
  </si>
  <si>
    <t>KR6197BF841UA</t>
    <phoneticPr fontId="2" type="noConversion"/>
  </si>
  <si>
    <t>전일 ISSUE 사항(02일)</t>
    <phoneticPr fontId="2" type="noConversion"/>
  </si>
  <si>
    <t>발주분양산-&gt;상측박힘정지</t>
    <phoneticPr fontId="2" type="noConversion"/>
  </si>
  <si>
    <t>KR6197BF841UA</t>
    <phoneticPr fontId="2" type="noConversion"/>
  </si>
  <si>
    <t>6</t>
    <phoneticPr fontId="2" type="noConversion"/>
  </si>
  <si>
    <t>LEAD GUIDE</t>
    <phoneticPr fontId="2" type="noConversion"/>
  </si>
  <si>
    <t>New Pattern Cover-2</t>
    <phoneticPr fontId="2" type="noConversion"/>
  </si>
  <si>
    <t>발주분양산-&gt;밀핀파손수리</t>
    <phoneticPr fontId="2" type="noConversion"/>
  </si>
  <si>
    <t>라인</t>
    <phoneticPr fontId="2" type="noConversion"/>
  </si>
  <si>
    <t>11</t>
    <phoneticPr fontId="2" type="noConversion"/>
  </si>
  <si>
    <t>당일 진행 사항(03일)</t>
    <phoneticPr fontId="2" type="noConversion"/>
  </si>
  <si>
    <t>2829HQN05-24-B2</t>
    <phoneticPr fontId="2" type="noConversion"/>
  </si>
  <si>
    <t>AMB0244A-KAA-R1</t>
    <phoneticPr fontId="2" type="noConversion"/>
  </si>
  <si>
    <t>MCS</t>
    <phoneticPr fontId="2" type="noConversion"/>
  </si>
  <si>
    <t>8</t>
    <phoneticPr fontId="2" type="noConversion"/>
  </si>
  <si>
    <t>STOPPER</t>
    <phoneticPr fontId="2" type="noConversion"/>
  </si>
  <si>
    <t>SAMPLE 진행 사항(02일)</t>
    <phoneticPr fontId="2" type="noConversion"/>
  </si>
  <si>
    <t>AMM08012A-KAA-R1</t>
    <phoneticPr fontId="2" type="noConversion"/>
  </si>
  <si>
    <t>G1300H</t>
    <phoneticPr fontId="2" type="noConversion"/>
  </si>
  <si>
    <t>신작</t>
    <phoneticPr fontId="2" type="noConversion"/>
  </si>
  <si>
    <t>AMB0197A-KAA-R1</t>
    <phoneticPr fontId="2" type="noConversion"/>
  </si>
  <si>
    <t>SST</t>
    <phoneticPr fontId="2" type="noConversion"/>
  </si>
  <si>
    <t>옵션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</si>
  <si>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</si>
  <si>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</si>
  <si>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2021년 08월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</si>
  <si>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2829HQN05-24-B1</t>
    <phoneticPr fontId="2" type="noConversion"/>
  </si>
  <si>
    <t>2829HQN05-24-B2</t>
    <phoneticPr fontId="2" type="noConversion"/>
  </si>
  <si>
    <t>전일 ISSUE 사항(03일)</t>
    <phoneticPr fontId="2" type="noConversion"/>
  </si>
  <si>
    <t>수리후양산</t>
    <phoneticPr fontId="2" type="noConversion"/>
  </si>
  <si>
    <t>뜯김수리</t>
    <phoneticPr fontId="2" type="noConversion"/>
  </si>
  <si>
    <t>MCS</t>
    <phoneticPr fontId="2" type="noConversion"/>
  </si>
  <si>
    <t>15</t>
    <phoneticPr fontId="2" type="noConversion"/>
  </si>
  <si>
    <t>ACTUATOR</t>
    <phoneticPr fontId="2" type="noConversion"/>
  </si>
  <si>
    <t>AMB1935A-KAA-R1</t>
    <phoneticPr fontId="2" type="noConversion"/>
  </si>
  <si>
    <t>코아파손정지</t>
    <phoneticPr fontId="2" type="noConversion"/>
  </si>
  <si>
    <t>당일 진행 사항(04일)</t>
    <phoneticPr fontId="2" type="noConversion"/>
  </si>
  <si>
    <t>400H-ABG2622A</t>
    <phoneticPr fontId="2" type="noConversion"/>
  </si>
  <si>
    <t>KR6156BA841YA</t>
    <phoneticPr fontId="2" type="noConversion"/>
  </si>
  <si>
    <t>4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</si>
  <si>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</si>
  <si>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</si>
  <si>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</si>
  <si>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KR6156BA841YA</t>
    <phoneticPr fontId="2" type="noConversion"/>
  </si>
  <si>
    <t>BURR정지</t>
    <phoneticPr fontId="2" type="noConversion"/>
  </si>
  <si>
    <t>8</t>
    <phoneticPr fontId="2" type="noConversion"/>
  </si>
  <si>
    <t>STOPPER</t>
    <phoneticPr fontId="2" type="noConversion"/>
  </si>
  <si>
    <t>AMB0244A-KAA-R1</t>
    <phoneticPr fontId="2" type="noConversion"/>
  </si>
  <si>
    <t>30P</t>
    <phoneticPr fontId="2" type="noConversion"/>
  </si>
  <si>
    <t>DI</t>
    <phoneticPr fontId="2" type="noConversion"/>
  </si>
  <si>
    <t>16</t>
    <phoneticPr fontId="2" type="noConversion"/>
  </si>
  <si>
    <t>SAMPLE 진행 사항(03일)</t>
    <phoneticPr fontId="2" type="noConversion"/>
  </si>
  <si>
    <t>HSA08-M04A1(4C)</t>
    <phoneticPr fontId="2" type="noConversion"/>
  </si>
  <si>
    <t>KR6457-A315YA</t>
    <phoneticPr fontId="2" type="noConversion"/>
  </si>
  <si>
    <t>KR6457-B315XX</t>
    <phoneticPr fontId="2" type="noConversion"/>
  </si>
  <si>
    <t>HICON</t>
    <phoneticPr fontId="2" type="noConversion"/>
  </si>
  <si>
    <t>수정</t>
    <phoneticPr fontId="2" type="noConversion"/>
  </si>
  <si>
    <t>6</t>
    <phoneticPr fontId="2" type="noConversion"/>
  </si>
  <si>
    <t>수정안됨</t>
    <phoneticPr fontId="2" type="noConversion"/>
  </si>
  <si>
    <t>SGF2050</t>
    <phoneticPr fontId="2" type="noConversion"/>
  </si>
  <si>
    <t>SF2250EPR</t>
    <phoneticPr fontId="2" type="noConversion"/>
  </si>
  <si>
    <t>원재료</t>
    <phoneticPr fontId="2" type="noConversion"/>
  </si>
  <si>
    <t>13</t>
    <phoneticPr fontId="2" type="noConversion"/>
  </si>
  <si>
    <t>BASE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</si>
  <si>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</si>
  <si>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</si>
  <si>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2021년 08월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</si>
  <si>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400H-ABG2622A</t>
    <phoneticPr fontId="2" type="noConversion"/>
  </si>
  <si>
    <t>AMB0360A-KAA-R2</t>
    <phoneticPr fontId="2" type="noConversion"/>
  </si>
  <si>
    <t>전일 ISSUE 사항(04일)</t>
    <phoneticPr fontId="2" type="noConversion"/>
  </si>
  <si>
    <t>발주분양산-&gt;BURR불량</t>
    <phoneticPr fontId="2" type="noConversion"/>
  </si>
  <si>
    <t>14</t>
    <phoneticPr fontId="2" type="noConversion"/>
  </si>
  <si>
    <t>11</t>
    <phoneticPr fontId="2" type="noConversion"/>
  </si>
  <si>
    <t>COVER</t>
    <phoneticPr fontId="2" type="noConversion"/>
  </si>
  <si>
    <t>AMB0360A-KAA-R2</t>
    <phoneticPr fontId="2" type="noConversion"/>
  </si>
  <si>
    <t>수리후양산-&gt;런너부러짐정지</t>
    <phoneticPr fontId="2" type="noConversion"/>
  </si>
  <si>
    <t>당일 진행 사항(05일)</t>
    <phoneticPr fontId="2" type="noConversion"/>
  </si>
  <si>
    <t>DI</t>
    <phoneticPr fontId="2" type="noConversion"/>
  </si>
  <si>
    <t>16</t>
    <phoneticPr fontId="2" type="noConversion"/>
  </si>
  <si>
    <t>30P</t>
    <phoneticPr fontId="2" type="noConversion"/>
  </si>
  <si>
    <t>KR6156BB841CA</t>
    <phoneticPr fontId="2" type="noConversion"/>
  </si>
  <si>
    <t>3</t>
    <phoneticPr fontId="2" type="noConversion"/>
  </si>
  <si>
    <t>BASE</t>
    <phoneticPr fontId="2" type="noConversion"/>
  </si>
  <si>
    <t>SAMPLE 진행 사항(04일)</t>
    <phoneticPr fontId="2" type="noConversion"/>
  </si>
  <si>
    <t>HDB08J-M02A1</t>
    <phoneticPr fontId="2" type="noConversion"/>
  </si>
  <si>
    <t>HICON</t>
    <phoneticPr fontId="2" type="noConversion"/>
  </si>
  <si>
    <t>SLIDER</t>
    <phoneticPr fontId="2" type="noConversion"/>
  </si>
  <si>
    <t>SGF2030 N/P</t>
    <phoneticPr fontId="2" type="noConversion"/>
  </si>
  <si>
    <t>신작</t>
    <phoneticPr fontId="2" type="noConversion"/>
  </si>
  <si>
    <t>1</t>
    <phoneticPr fontId="2" type="noConversion"/>
  </si>
  <si>
    <t>HDB08J-M01A1</t>
    <phoneticPr fontId="2" type="noConversion"/>
  </si>
  <si>
    <t>SGF2041</t>
    <phoneticPr fontId="2" type="noConversion"/>
  </si>
  <si>
    <t>상측박힘-&gt;오조립수리</t>
    <phoneticPr fontId="2" type="noConversion"/>
  </si>
  <si>
    <t>STOPPER</t>
    <phoneticPr fontId="2" type="noConversion"/>
  </si>
  <si>
    <t>HDB08J-M04A1</t>
    <phoneticPr fontId="2" type="noConversion"/>
  </si>
  <si>
    <t>HSA08-M04A1(4C)</t>
    <phoneticPr fontId="2" type="noConversion"/>
  </si>
  <si>
    <t>수정</t>
    <phoneticPr fontId="2" type="noConversion"/>
  </si>
  <si>
    <t>6</t>
    <phoneticPr fontId="2" type="noConversion"/>
  </si>
  <si>
    <t>AMB0188A-KAA-R3</t>
    <phoneticPr fontId="2" type="noConversion"/>
  </si>
  <si>
    <t>MCS</t>
    <phoneticPr fontId="2" type="noConversion"/>
  </si>
  <si>
    <t>SF2255</t>
    <phoneticPr fontId="2" type="noConversion"/>
  </si>
  <si>
    <t>AMB0189A-KAA-R3</t>
    <phoneticPr fontId="2" type="noConversion"/>
  </si>
  <si>
    <t>K-JR01908-G02ABA</t>
    <phoneticPr fontId="2" type="noConversion"/>
  </si>
  <si>
    <t>SST</t>
    <phoneticPr fontId="2" type="noConversion"/>
  </si>
  <si>
    <t>ADAPTER</t>
    <phoneticPr fontId="2" type="noConversion"/>
  </si>
  <si>
    <t>12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</si>
  <si>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</si>
  <si>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</si>
  <si>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08월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</si>
  <si>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AM0340A-K</t>
    <phoneticPr fontId="2" type="noConversion"/>
  </si>
  <si>
    <t>전일 ISSUE 사항(05일)</t>
    <phoneticPr fontId="2" type="noConversion"/>
  </si>
  <si>
    <t>발주분양산-&gt;상측뜯김수리</t>
    <phoneticPr fontId="2" type="noConversion"/>
  </si>
  <si>
    <t>MCS</t>
    <phoneticPr fontId="2" type="noConversion"/>
  </si>
  <si>
    <t>11</t>
    <phoneticPr fontId="2" type="noConversion"/>
  </si>
  <si>
    <t>COVER</t>
    <phoneticPr fontId="2" type="noConversion"/>
  </si>
  <si>
    <t>AM0340A-K</t>
    <phoneticPr fontId="2" type="noConversion"/>
  </si>
  <si>
    <t>수리후양산-&gt;뜯김정지</t>
    <phoneticPr fontId="2" type="noConversion"/>
  </si>
  <si>
    <t>당일 진행 사항(06일)</t>
    <phoneticPr fontId="2" type="noConversion"/>
  </si>
  <si>
    <t>AM0610C-J</t>
    <phoneticPr fontId="2" type="noConversion"/>
  </si>
  <si>
    <t>SAM</t>
    <phoneticPr fontId="2" type="noConversion"/>
  </si>
  <si>
    <t>2</t>
    <phoneticPr fontId="2" type="noConversion"/>
  </si>
  <si>
    <t>HSA08-M03A1</t>
    <phoneticPr fontId="2" type="noConversion"/>
  </si>
  <si>
    <t>HICON</t>
    <phoneticPr fontId="2" type="noConversion"/>
  </si>
  <si>
    <t>6</t>
    <phoneticPr fontId="2" type="noConversion"/>
  </si>
  <si>
    <t>SAMPLE 진행 사항(05일)</t>
    <phoneticPr fontId="2" type="noConversion"/>
  </si>
  <si>
    <t>OKINS</t>
    <phoneticPr fontId="2" type="noConversion"/>
  </si>
  <si>
    <t>400H-ABG2622A</t>
    <phoneticPr fontId="2" type="noConversion"/>
  </si>
  <si>
    <t>SF2255 I/V</t>
    <phoneticPr fontId="2" type="noConversion"/>
  </si>
  <si>
    <t>수정</t>
    <phoneticPr fontId="2" type="noConversion"/>
  </si>
  <si>
    <t>1</t>
    <phoneticPr fontId="2" type="noConversion"/>
  </si>
  <si>
    <t>AMM0892A-KAA-R1</t>
    <phoneticPr fontId="2" type="noConversion"/>
  </si>
  <si>
    <t>8301(10:1)</t>
    <phoneticPr fontId="2" type="noConversion"/>
  </si>
  <si>
    <t>크랙</t>
    <phoneticPr fontId="2" type="noConversion"/>
  </si>
  <si>
    <t>9</t>
    <phoneticPr fontId="2" type="noConversion"/>
  </si>
  <si>
    <t>AMB1943A-KAA-R1</t>
    <phoneticPr fontId="2" type="noConversion"/>
  </si>
  <si>
    <t>AMB0199A-KAA-R1</t>
    <phoneticPr fontId="2" type="noConversion"/>
  </si>
  <si>
    <t>AMB0253A-KAA-R1</t>
    <phoneticPr fontId="2" type="noConversion"/>
  </si>
  <si>
    <t>ACTUATOR</t>
    <phoneticPr fontId="2" type="noConversion"/>
  </si>
  <si>
    <t>STOPPER</t>
    <phoneticPr fontId="2" type="noConversion"/>
  </si>
  <si>
    <t>JD4901</t>
    <phoneticPr fontId="2" type="noConversion"/>
  </si>
  <si>
    <t>SGF2050</t>
    <phoneticPr fontId="2" type="noConversion"/>
  </si>
  <si>
    <t>신작</t>
    <phoneticPr fontId="2" type="noConversion"/>
  </si>
  <si>
    <t>13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</si>
  <si>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</si>
  <si>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</si>
  <si>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08월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</si>
  <si>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SGF2030N/P</t>
    <phoneticPr fontId="2" type="noConversion"/>
  </si>
  <si>
    <t>AMB0365A-KAA-R1</t>
    <phoneticPr fontId="2" type="noConversion"/>
  </si>
  <si>
    <t>AMB0484A-KAA-R1</t>
    <phoneticPr fontId="2" type="noConversion"/>
  </si>
  <si>
    <t>전일 ISSUE 사항(06일)</t>
    <phoneticPr fontId="2" type="noConversion"/>
  </si>
  <si>
    <t>승인후양산</t>
    <phoneticPr fontId="2" type="noConversion"/>
  </si>
  <si>
    <t>발주분양산-&gt;상측박힘수리</t>
    <phoneticPr fontId="2" type="noConversion"/>
  </si>
  <si>
    <t>뜯김정지</t>
    <phoneticPr fontId="2" type="noConversion"/>
  </si>
  <si>
    <t>수리후양산-&gt;코아파손수리</t>
    <phoneticPr fontId="2" type="noConversion"/>
  </si>
  <si>
    <t>발주분양산-&gt;HOOK박힘정지</t>
    <phoneticPr fontId="2" type="noConversion"/>
  </si>
  <si>
    <t>6</t>
    <phoneticPr fontId="2" type="noConversion"/>
  </si>
  <si>
    <t>LEAD GUIDE</t>
    <phoneticPr fontId="2" type="noConversion"/>
  </si>
  <si>
    <t>AMB0484A-KAA-R1</t>
    <phoneticPr fontId="2" type="noConversion"/>
  </si>
  <si>
    <t>당일 진행 사항(09일)</t>
    <phoneticPr fontId="2" type="noConversion"/>
  </si>
  <si>
    <t>F/A</t>
    <phoneticPr fontId="2" type="noConversion"/>
  </si>
  <si>
    <t>AMB20G7B-KAA-R2</t>
    <phoneticPr fontId="2" type="noConversion"/>
  </si>
  <si>
    <t>AMB09J4C-KAB-R3</t>
    <phoneticPr fontId="2" type="noConversion"/>
  </si>
  <si>
    <t>LATCH PLATE</t>
    <phoneticPr fontId="2" type="noConversion"/>
  </si>
  <si>
    <t>AMB0244A-KAA-R1</t>
    <phoneticPr fontId="2" type="noConversion"/>
  </si>
  <si>
    <t>수리후양산</t>
    <phoneticPr fontId="2" type="noConversion"/>
  </si>
  <si>
    <t>8</t>
    <phoneticPr fontId="2" type="noConversion"/>
  </si>
  <si>
    <t>STOPPER</t>
    <phoneticPr fontId="2" type="noConversion"/>
  </si>
  <si>
    <t>AM0340A-K</t>
    <phoneticPr fontId="2" type="noConversion"/>
  </si>
  <si>
    <t>11</t>
    <phoneticPr fontId="2" type="noConversion"/>
  </si>
  <si>
    <t>COVER</t>
    <phoneticPr fontId="2" type="noConversion"/>
  </si>
  <si>
    <t>SAMPLE 진행 사항(06일)</t>
    <phoneticPr fontId="2" type="noConversion"/>
  </si>
  <si>
    <t>AMB20G7A-KAA-R2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</si>
  <si>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</si>
  <si>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</si>
  <si>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08월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</si>
  <si>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PX13012</t>
    <phoneticPr fontId="2" type="noConversion"/>
  </si>
  <si>
    <t>전일 ISSUE 사항(09일)</t>
    <phoneticPr fontId="2" type="noConversion"/>
  </si>
  <si>
    <t>세척후양산</t>
    <phoneticPr fontId="2" type="noConversion"/>
  </si>
  <si>
    <t>당일 진행 사항(10일)</t>
    <phoneticPr fontId="2" type="noConversion"/>
  </si>
  <si>
    <t>NEXT</t>
    <phoneticPr fontId="2" type="noConversion"/>
  </si>
  <si>
    <t>SAMPLE 진행 사항(09일)</t>
    <phoneticPr fontId="2" type="noConversion"/>
  </si>
  <si>
    <t>HSA08-M04A1</t>
    <phoneticPr fontId="2" type="noConversion"/>
  </si>
  <si>
    <t>AMB2107A-KAA-R1</t>
    <phoneticPr fontId="2" type="noConversion"/>
  </si>
  <si>
    <t>TOP</t>
    <phoneticPr fontId="2" type="noConversion"/>
  </si>
  <si>
    <t>원재료잘못찍음</t>
    <phoneticPr fontId="2" type="noConversion"/>
  </si>
  <si>
    <t>AMB2203A-KAA-R1</t>
    <phoneticPr fontId="2" type="noConversion"/>
  </si>
  <si>
    <t>LG35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</si>
  <si>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</si>
  <si>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</si>
  <si>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2021년 08월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</si>
  <si>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XP2S FLOATING</t>
    <phoneticPr fontId="2" type="noConversion"/>
  </si>
  <si>
    <t>288C64A-B148A</t>
    <phoneticPr fontId="2" type="noConversion"/>
  </si>
  <si>
    <t>전일 ISSUE 사항(10일)</t>
    <phoneticPr fontId="2" type="noConversion"/>
  </si>
  <si>
    <t>XP2S FLOATING</t>
    <phoneticPr fontId="2" type="noConversion"/>
  </si>
  <si>
    <t>발주분양산-&gt;뜯김3회정지</t>
    <phoneticPr fontId="2" type="noConversion"/>
  </si>
  <si>
    <t>당일 진행 사항(11일)</t>
    <phoneticPr fontId="2" type="noConversion"/>
  </si>
  <si>
    <t>OKINS</t>
    <phoneticPr fontId="2" type="noConversion"/>
  </si>
  <si>
    <t>9</t>
    <phoneticPr fontId="2" type="noConversion"/>
  </si>
  <si>
    <t>발주분양산-&gt;코아파손-&gt;뜯김정지</t>
    <phoneticPr fontId="2" type="noConversion"/>
  </si>
  <si>
    <t>K-JR01908-G02ABA</t>
    <phoneticPr fontId="2" type="noConversion"/>
  </si>
  <si>
    <t>SAMPLE 진행 사항(10일)</t>
    <phoneticPr fontId="2" type="noConversion"/>
  </si>
  <si>
    <t>HSA08-M02A1</t>
    <phoneticPr fontId="2" type="noConversion"/>
  </si>
  <si>
    <t>SF2255 I/V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</si>
  <si>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</si>
  <si>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</si>
  <si>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08월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</si>
  <si>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K-JR01908-G02ABA</t>
    <phoneticPr fontId="2" type="noConversion"/>
  </si>
  <si>
    <t>전일 ISSUE 사항(11일)</t>
    <phoneticPr fontId="2" type="noConversion"/>
  </si>
  <si>
    <t>뜯김2회정지</t>
    <phoneticPr fontId="2" type="noConversion"/>
  </si>
  <si>
    <t>수리후양산-&gt;상측박힘3회정지</t>
    <phoneticPr fontId="2" type="noConversion"/>
  </si>
  <si>
    <t>뜯김3회정지</t>
    <phoneticPr fontId="2" type="noConversion"/>
  </si>
  <si>
    <t>5</t>
    <phoneticPr fontId="2" type="noConversion"/>
  </si>
  <si>
    <t>AMB0360A-KAA-R2</t>
    <phoneticPr fontId="2" type="noConversion"/>
  </si>
  <si>
    <t>발주분양산</t>
    <phoneticPr fontId="2" type="noConversion"/>
  </si>
  <si>
    <t>SST</t>
    <phoneticPr fontId="2" type="noConversion"/>
  </si>
  <si>
    <t>12</t>
    <phoneticPr fontId="2" type="noConversion"/>
  </si>
  <si>
    <t>14</t>
    <phoneticPr fontId="2" type="noConversion"/>
  </si>
  <si>
    <t>ACTUATOR</t>
    <phoneticPr fontId="2" type="noConversion"/>
  </si>
  <si>
    <t>AMB1935A-KAA-R1</t>
    <phoneticPr fontId="2" type="noConversion"/>
  </si>
  <si>
    <t>1C파손막음</t>
    <phoneticPr fontId="2" type="noConversion"/>
  </si>
  <si>
    <t>당일 진행 사항(12일)</t>
    <phoneticPr fontId="2" type="noConversion"/>
  </si>
  <si>
    <t>HDB0.65-L5</t>
    <phoneticPr fontId="2" type="noConversion"/>
  </si>
  <si>
    <t>HICON</t>
    <phoneticPr fontId="2" type="noConversion"/>
  </si>
  <si>
    <t>4</t>
    <phoneticPr fontId="2" type="noConversion"/>
  </si>
  <si>
    <t>LEAD GUIDE</t>
    <phoneticPr fontId="2" type="noConversion"/>
  </si>
  <si>
    <t>HDB0.65-T4</t>
    <phoneticPr fontId="2" type="noConversion"/>
  </si>
  <si>
    <t>6</t>
    <phoneticPr fontId="2" type="noConversion"/>
  </si>
  <si>
    <t>STOPPER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</si>
  <si>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</si>
  <si>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</si>
  <si>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</si>
  <si>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2021년 08월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</si>
  <si>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KR6303-E07TA</t>
    <phoneticPr fontId="2" type="noConversion"/>
  </si>
  <si>
    <t>전일 ISSUE 사항(12일)</t>
    <phoneticPr fontId="2" type="noConversion"/>
  </si>
  <si>
    <t>1C박힘 막음</t>
    <phoneticPr fontId="2" type="noConversion"/>
  </si>
  <si>
    <t>AMB20G7B-KAA-R2</t>
    <phoneticPr fontId="2" type="noConversion"/>
  </si>
  <si>
    <t>발주분양산</t>
    <phoneticPr fontId="2" type="noConversion"/>
  </si>
  <si>
    <t>발주분양산-&gt;미성형정지</t>
    <phoneticPr fontId="2" type="noConversion"/>
  </si>
  <si>
    <t>SST</t>
    <phoneticPr fontId="2" type="noConversion"/>
  </si>
  <si>
    <t>5</t>
    <phoneticPr fontId="2" type="noConversion"/>
  </si>
  <si>
    <t>LATCH</t>
    <phoneticPr fontId="2" type="noConversion"/>
  </si>
  <si>
    <t>2</t>
    <phoneticPr fontId="2" type="noConversion"/>
  </si>
  <si>
    <t>F/A</t>
    <phoneticPr fontId="2" type="noConversion"/>
  </si>
  <si>
    <t>당일 진행 사항(13일)</t>
    <phoneticPr fontId="2" type="noConversion"/>
  </si>
  <si>
    <t>U/BASE</t>
    <phoneticPr fontId="2" type="noConversion"/>
  </si>
  <si>
    <t>288C64A-U148A</t>
    <phoneticPr fontId="2" type="noConversion"/>
  </si>
  <si>
    <t>SAMPLE 진행 사항(12일)</t>
    <phoneticPr fontId="2" type="noConversion"/>
  </si>
  <si>
    <t>AMM08010A-KAA-R1</t>
    <phoneticPr fontId="2" type="noConversion"/>
  </si>
  <si>
    <t>KR6457-GA315PNA</t>
    <phoneticPr fontId="2" type="noConversion"/>
  </si>
  <si>
    <t>MCS</t>
    <phoneticPr fontId="2" type="noConversion"/>
  </si>
  <si>
    <t>BASE</t>
    <phoneticPr fontId="2" type="noConversion"/>
  </si>
  <si>
    <t>SF2255 I/V</t>
    <phoneticPr fontId="2" type="noConversion"/>
  </si>
  <si>
    <t>수정</t>
    <phoneticPr fontId="2" type="noConversion"/>
  </si>
  <si>
    <t>1</t>
    <phoneticPr fontId="2" type="noConversion"/>
  </si>
  <si>
    <t>런너이상수리</t>
    <phoneticPr fontId="2" type="noConversion"/>
  </si>
  <si>
    <t>ADAPTER</t>
    <phoneticPr fontId="2" type="noConversion"/>
  </si>
  <si>
    <t>SF2250EPR I/V</t>
    <phoneticPr fontId="2" type="noConversion"/>
  </si>
  <si>
    <t>10</t>
    <phoneticPr fontId="2" type="noConversion"/>
  </si>
  <si>
    <t>뜯김정지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</si>
  <si>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</si>
  <si>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</si>
  <si>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2021년 08월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</si>
  <si>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UNDER BASE</t>
    <phoneticPr fontId="2" type="noConversion"/>
  </si>
  <si>
    <t>BG255-001G1</t>
    <phoneticPr fontId="2" type="noConversion"/>
  </si>
  <si>
    <t>전일 ISSUE 사항(13일)</t>
    <phoneticPr fontId="2" type="noConversion"/>
  </si>
  <si>
    <t>코아파손수리</t>
    <phoneticPr fontId="2" type="noConversion"/>
  </si>
  <si>
    <t>LATCH/P</t>
    <phoneticPr fontId="2" type="noConversion"/>
  </si>
  <si>
    <t>HICON</t>
    <phoneticPr fontId="2" type="noConversion"/>
  </si>
  <si>
    <t>3</t>
    <phoneticPr fontId="2" type="noConversion"/>
  </si>
  <si>
    <t>STOPPER</t>
    <phoneticPr fontId="2" type="noConversion"/>
  </si>
  <si>
    <t>HDB0.65-T4</t>
    <phoneticPr fontId="2" type="noConversion"/>
  </si>
  <si>
    <t>HDB0.65-L5</t>
    <phoneticPr fontId="2" type="noConversion"/>
  </si>
  <si>
    <t>4</t>
    <phoneticPr fontId="2" type="noConversion"/>
  </si>
  <si>
    <t>L/G</t>
    <phoneticPr fontId="2" type="noConversion"/>
  </si>
  <si>
    <t>발주분양산-&gt;뜯김수리-&gt;BURR정지</t>
    <phoneticPr fontId="2" type="noConversion"/>
  </si>
  <si>
    <t>당일 진행 사항(17일)</t>
    <phoneticPr fontId="2" type="noConversion"/>
  </si>
  <si>
    <t>AMB0360A-KAA-R2</t>
    <phoneticPr fontId="2" type="noConversion"/>
  </si>
  <si>
    <t>발주분양산</t>
    <phoneticPr fontId="2" type="noConversion"/>
  </si>
  <si>
    <t>5</t>
    <phoneticPr fontId="2" type="noConversion"/>
  </si>
  <si>
    <t>COVER</t>
    <phoneticPr fontId="2" type="noConversion"/>
  </si>
  <si>
    <t>New Pattern Cover-2</t>
    <phoneticPr fontId="2" type="noConversion"/>
  </si>
  <si>
    <t>아람</t>
    <phoneticPr fontId="2" type="noConversion"/>
  </si>
  <si>
    <t>11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</si>
  <si>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</si>
  <si>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</si>
  <si>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</si>
  <si>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2021년 08월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</si>
  <si>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HDB0.65-B1</t>
    <phoneticPr fontId="2" type="noConversion"/>
  </si>
  <si>
    <t>전일 ISSUE 사항(17일)</t>
    <phoneticPr fontId="2" type="noConversion"/>
  </si>
  <si>
    <t>뜯김5회정지</t>
    <phoneticPr fontId="2" type="noConversion"/>
  </si>
  <si>
    <t>발주분양산-&gt;BURR정지</t>
    <phoneticPr fontId="2" type="noConversion"/>
  </si>
  <si>
    <t>발주분양산-&gt;뜯김수리</t>
    <phoneticPr fontId="2" type="noConversion"/>
  </si>
  <si>
    <t>당일 진행 사항(18일)</t>
    <phoneticPr fontId="2" type="noConversion"/>
  </si>
  <si>
    <t>AMB07M4A-KAA-R1</t>
    <phoneticPr fontId="2" type="noConversion"/>
  </si>
  <si>
    <t>BP22-127A1</t>
    <phoneticPr fontId="2" type="noConversion"/>
  </si>
  <si>
    <t>AMB0228A-KAA-R1</t>
    <phoneticPr fontId="2" type="noConversion"/>
  </si>
  <si>
    <t>SAMPLE 진행 사항(17일)</t>
    <phoneticPr fontId="2" type="noConversion"/>
  </si>
  <si>
    <t>262C83A-B150A</t>
    <phoneticPr fontId="2" type="noConversion"/>
  </si>
  <si>
    <t>AMB07R5B-KBB-R1</t>
    <phoneticPr fontId="2" type="noConversion"/>
  </si>
  <si>
    <t>SGF2050 N/P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</si>
  <si>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</si>
  <si>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</si>
  <si>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2021년 08월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</si>
  <si>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22P(4POST)</t>
    <phoneticPr fontId="2" type="noConversion"/>
  </si>
  <si>
    <t>전일 ISSUE 사항(18일)</t>
    <phoneticPr fontId="2" type="noConversion"/>
  </si>
  <si>
    <t>수리후양산-&gt;BURR정지</t>
    <phoneticPr fontId="2" type="noConversion"/>
  </si>
  <si>
    <t>발주분양산</t>
    <phoneticPr fontId="2" type="noConversion"/>
  </si>
  <si>
    <t>AMB07M4A-KAA-R1</t>
    <phoneticPr fontId="2" type="noConversion"/>
  </si>
  <si>
    <t>발주분양산-&gt;미성형정지</t>
    <phoneticPr fontId="2" type="noConversion"/>
  </si>
  <si>
    <t>2</t>
    <phoneticPr fontId="2" type="noConversion"/>
  </si>
  <si>
    <t>ADAPTER</t>
    <phoneticPr fontId="2" type="noConversion"/>
  </si>
  <si>
    <t>HDB0.65-T4</t>
    <phoneticPr fontId="2" type="noConversion"/>
  </si>
  <si>
    <t>4</t>
    <phoneticPr fontId="2" type="noConversion"/>
  </si>
  <si>
    <t>BP22-127A1</t>
    <phoneticPr fontId="2" type="noConversion"/>
  </si>
  <si>
    <t>6</t>
    <phoneticPr fontId="2" type="noConversion"/>
  </si>
  <si>
    <t>22P(4POST)</t>
    <phoneticPr fontId="2" type="noConversion"/>
  </si>
  <si>
    <t>DI</t>
    <phoneticPr fontId="2" type="noConversion"/>
  </si>
  <si>
    <t>16</t>
    <phoneticPr fontId="2" type="noConversion"/>
  </si>
  <si>
    <t>당일 진행 사항(19일)</t>
    <phoneticPr fontId="2" type="noConversion"/>
  </si>
  <si>
    <t>07401-10301-41/300</t>
    <phoneticPr fontId="2" type="noConversion"/>
  </si>
  <si>
    <t>9</t>
    <phoneticPr fontId="2" type="noConversion"/>
  </si>
  <si>
    <t>HSA08-M03A1(CC)</t>
    <phoneticPr fontId="2" type="noConversion"/>
  </si>
  <si>
    <t>5</t>
    <phoneticPr fontId="2" type="noConversion"/>
  </si>
  <si>
    <t>COVER</t>
    <phoneticPr fontId="2" type="noConversion"/>
  </si>
  <si>
    <t>SAMPLE 진행 사항(18일)</t>
    <phoneticPr fontId="2" type="noConversion"/>
  </si>
  <si>
    <t>HDB08J-M04A1</t>
    <phoneticPr fontId="2" type="noConversion"/>
  </si>
  <si>
    <t>AMB07R5B-KCC-R1</t>
    <phoneticPr fontId="2" type="noConversion"/>
  </si>
  <si>
    <t>오조립수리</t>
    <phoneticPr fontId="2" type="noConversion"/>
  </si>
  <si>
    <t>HDB08J-M01A1</t>
    <phoneticPr fontId="2" type="noConversion"/>
  </si>
  <si>
    <t>AMB0347A-KBB-R1</t>
    <phoneticPr fontId="2" type="noConversion"/>
  </si>
  <si>
    <t>HICON</t>
    <phoneticPr fontId="2" type="noConversion"/>
  </si>
  <si>
    <t>MCS</t>
    <phoneticPr fontId="2" type="noConversion"/>
  </si>
  <si>
    <t>STOPPER</t>
    <phoneticPr fontId="2" type="noConversion"/>
  </si>
  <si>
    <t>DUMMY</t>
    <phoneticPr fontId="2" type="noConversion"/>
  </si>
  <si>
    <t>BASE</t>
    <phoneticPr fontId="2" type="noConversion"/>
  </si>
  <si>
    <t>SGF2041</t>
    <phoneticPr fontId="2" type="noConversion"/>
  </si>
  <si>
    <t>SGF2050 N/P</t>
    <phoneticPr fontId="2" type="noConversion"/>
  </si>
  <si>
    <t>JD4901</t>
    <phoneticPr fontId="2" type="noConversion"/>
  </si>
  <si>
    <t>수정</t>
    <phoneticPr fontId="2" type="noConversion"/>
  </si>
  <si>
    <t>옵션</t>
    <phoneticPr fontId="2" type="noConversion"/>
  </si>
  <si>
    <t>12</t>
    <phoneticPr fontId="2" type="noConversion"/>
  </si>
  <si>
    <t>13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</si>
  <si>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</si>
  <si>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</si>
  <si>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2021년 08월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</si>
  <si>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F/R</t>
    <phoneticPr fontId="2" type="noConversion"/>
  </si>
  <si>
    <t>2*2</t>
    <phoneticPr fontId="2" type="noConversion"/>
  </si>
  <si>
    <t>전일 ISSUE 사항(19일)</t>
    <phoneticPr fontId="2" type="noConversion"/>
  </si>
  <si>
    <t>수리후양산-&gt;치수수정-&gt;뜯김정지</t>
    <phoneticPr fontId="2" type="noConversion"/>
  </si>
  <si>
    <t>틀어짐수리</t>
    <phoneticPr fontId="2" type="noConversion"/>
  </si>
  <si>
    <t>HSA08-M03A1(CC)</t>
    <phoneticPr fontId="2" type="noConversion"/>
  </si>
  <si>
    <t>발주분양산</t>
    <phoneticPr fontId="2" type="noConversion"/>
  </si>
  <si>
    <t>5</t>
    <phoneticPr fontId="2" type="noConversion"/>
  </si>
  <si>
    <t>COVER</t>
    <phoneticPr fontId="2" type="noConversion"/>
  </si>
  <si>
    <t>당일 진행 사항(20일)</t>
    <phoneticPr fontId="2" type="noConversion"/>
  </si>
  <si>
    <t>07401-10301-41/300</t>
    <phoneticPr fontId="2" type="noConversion"/>
  </si>
  <si>
    <t>발주분양산-&gt;런너판수리</t>
    <phoneticPr fontId="2" type="noConversion"/>
  </si>
  <si>
    <t>9</t>
    <phoneticPr fontId="2" type="noConversion"/>
  </si>
  <si>
    <t>AMB20D7A-KAA-R5</t>
    <phoneticPr fontId="2" type="noConversion"/>
  </si>
  <si>
    <t>2829HQN05-5632-C4</t>
    <phoneticPr fontId="2" type="noConversion"/>
  </si>
  <si>
    <t>AMB0193A-KAA-R1</t>
    <phoneticPr fontId="2" type="noConversion"/>
  </si>
  <si>
    <t>15</t>
    <phoneticPr fontId="2" type="noConversion"/>
  </si>
  <si>
    <t>SAMPLE 진행 사항(19일)</t>
    <phoneticPr fontId="2" type="noConversion"/>
  </si>
  <si>
    <t>KR6457-GA315PNA</t>
    <phoneticPr fontId="2" type="noConversion"/>
  </si>
  <si>
    <t>NP612-154-007#LB</t>
    <phoneticPr fontId="2" type="noConversion"/>
  </si>
  <si>
    <t>HDB0.65-S2B</t>
    <phoneticPr fontId="2" type="noConversion"/>
  </si>
  <si>
    <t>NP612-121-007#IN-B</t>
    <phoneticPr fontId="2" type="noConversion"/>
  </si>
  <si>
    <t>NP612-121-007#IN-A</t>
    <phoneticPr fontId="2" type="noConversion"/>
  </si>
  <si>
    <t>AMB2107A-KAA-R1</t>
    <phoneticPr fontId="2" type="noConversion"/>
  </si>
  <si>
    <t>AMB0366A-KAA-R3</t>
    <phoneticPr fontId="2" type="noConversion"/>
  </si>
  <si>
    <t>AMB0165B-KBB-R1</t>
    <phoneticPr fontId="2" type="noConversion"/>
  </si>
  <si>
    <t>SST</t>
    <phoneticPr fontId="2" type="noConversion"/>
  </si>
  <si>
    <t>AYE</t>
    <phoneticPr fontId="2" type="noConversion"/>
  </si>
  <si>
    <t>HICON</t>
    <phoneticPr fontId="2" type="noConversion"/>
  </si>
  <si>
    <t>MCS</t>
    <phoneticPr fontId="2" type="noConversion"/>
  </si>
  <si>
    <t>ADAPTER</t>
    <phoneticPr fontId="2" type="noConversion"/>
  </si>
  <si>
    <t>SLIDER</t>
    <phoneticPr fontId="2" type="noConversion"/>
  </si>
  <si>
    <t>TOP</t>
    <phoneticPr fontId="2" type="noConversion"/>
  </si>
  <si>
    <t>BASE</t>
    <phoneticPr fontId="2" type="noConversion"/>
  </si>
  <si>
    <t>SF2250EPR N/P</t>
    <phoneticPr fontId="2" type="noConversion"/>
  </si>
  <si>
    <t>SGP2030R N/P</t>
    <phoneticPr fontId="2" type="noConversion"/>
  </si>
  <si>
    <t>SGF2041 N/P</t>
    <phoneticPr fontId="2" type="noConversion"/>
  </si>
  <si>
    <t>SGP2030R</t>
    <phoneticPr fontId="2" type="noConversion"/>
  </si>
  <si>
    <t>SGF2030</t>
    <phoneticPr fontId="2" type="noConversion"/>
  </si>
  <si>
    <t>JD4901</t>
    <phoneticPr fontId="2" type="noConversion"/>
  </si>
  <si>
    <t>SGF2050</t>
    <phoneticPr fontId="2" type="noConversion"/>
  </si>
  <si>
    <t>수정</t>
    <phoneticPr fontId="2" type="noConversion"/>
  </si>
  <si>
    <t>10</t>
    <phoneticPr fontId="2" type="noConversion"/>
  </si>
  <si>
    <t>개조</t>
    <phoneticPr fontId="2" type="noConversion"/>
  </si>
  <si>
    <t>12</t>
    <phoneticPr fontId="2" type="noConversion"/>
  </si>
  <si>
    <t>옵션</t>
    <phoneticPr fontId="2" type="noConversion"/>
  </si>
  <si>
    <t>13</t>
    <phoneticPr fontId="2" type="noConversion"/>
  </si>
  <si>
    <t>14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</si>
  <si>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</si>
  <si>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</si>
  <si>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08월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</si>
  <si>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2829HQN05-5632-C4</t>
    <phoneticPr fontId="2" type="noConversion"/>
  </si>
  <si>
    <t>AMB0359A-KAA-R2</t>
    <phoneticPr fontId="2" type="noConversion"/>
  </si>
  <si>
    <t>HT00-M64A4-5(1C)</t>
    <phoneticPr fontId="2" type="noConversion"/>
  </si>
  <si>
    <t>전일 ISSUE 사항(20일)</t>
    <phoneticPr fontId="2" type="noConversion"/>
  </si>
  <si>
    <t>400H-ABG2622A</t>
    <phoneticPr fontId="2" type="noConversion"/>
  </si>
  <si>
    <t>OKINS</t>
    <phoneticPr fontId="2" type="noConversion"/>
  </si>
  <si>
    <t>1</t>
    <phoneticPr fontId="2" type="noConversion"/>
  </si>
  <si>
    <t>ADAPTER</t>
    <phoneticPr fontId="2" type="noConversion"/>
  </si>
  <si>
    <t>F/A</t>
    <phoneticPr fontId="2" type="noConversion"/>
  </si>
  <si>
    <t>AMB20D7A-KAA-R5</t>
    <phoneticPr fontId="2" type="noConversion"/>
  </si>
  <si>
    <t>발주분양산-&gt;낙하불량-&gt;코아빠짐수리</t>
    <phoneticPr fontId="2" type="noConversion"/>
  </si>
  <si>
    <t>AMB0193A-KAA-R1</t>
    <phoneticPr fontId="2" type="noConversion"/>
  </si>
  <si>
    <t>4</t>
    <phoneticPr fontId="2" type="noConversion"/>
  </si>
  <si>
    <t>5</t>
    <phoneticPr fontId="2" type="noConversion"/>
  </si>
  <si>
    <t>COVER</t>
    <phoneticPr fontId="2" type="noConversion"/>
  </si>
  <si>
    <t>발주분양산-&gt;밀핀파손수리-&gt;밀핀BURR수리</t>
    <phoneticPr fontId="2" type="noConversion"/>
  </si>
  <si>
    <t>13</t>
    <phoneticPr fontId="2" type="noConversion"/>
  </si>
  <si>
    <t>LATCH</t>
    <phoneticPr fontId="2" type="noConversion"/>
  </si>
  <si>
    <t>당일 진행 사항(21일)</t>
    <phoneticPr fontId="2" type="noConversion"/>
  </si>
  <si>
    <t>SST</t>
    <phoneticPr fontId="2" type="noConversion"/>
  </si>
  <si>
    <t>K-AR3548-1B</t>
    <phoneticPr fontId="2" type="noConversion"/>
  </si>
  <si>
    <t>NP413-187-105#IN-A</t>
    <phoneticPr fontId="2" type="noConversion"/>
  </si>
  <si>
    <t>AYE</t>
    <phoneticPr fontId="2" type="noConversion"/>
  </si>
  <si>
    <t>AMB07AB3A-KAA-R1</t>
    <phoneticPr fontId="2" type="noConversion"/>
  </si>
  <si>
    <t>MCS</t>
    <phoneticPr fontId="2" type="noConversion"/>
  </si>
  <si>
    <t>10</t>
    <phoneticPr fontId="2" type="noConversion"/>
  </si>
  <si>
    <t>K-AR3550-1B</t>
    <phoneticPr fontId="2" type="noConversion"/>
  </si>
  <si>
    <t>SAMPLE 진행 사항(20일)</t>
    <phoneticPr fontId="2" type="noConversion"/>
  </si>
  <si>
    <t>AMB0359A-KAA-R2</t>
    <phoneticPr fontId="2" type="noConversion"/>
  </si>
  <si>
    <t>AMB07R5B-KCC-R1</t>
    <phoneticPr fontId="2" type="noConversion"/>
  </si>
  <si>
    <t>AMB07R5B-KBB-R1</t>
    <phoneticPr fontId="2" type="noConversion"/>
  </si>
  <si>
    <t>HDB08J-M02A1(1C)</t>
    <phoneticPr fontId="2" type="noConversion"/>
  </si>
  <si>
    <t>HICON</t>
    <phoneticPr fontId="2" type="noConversion"/>
  </si>
  <si>
    <t>DUMMY</t>
    <phoneticPr fontId="2" type="noConversion"/>
  </si>
  <si>
    <t>SLIDER</t>
    <phoneticPr fontId="2" type="noConversion"/>
  </si>
  <si>
    <t>SGF2050 N/P</t>
    <phoneticPr fontId="2" type="noConversion"/>
  </si>
  <si>
    <t>수정</t>
    <phoneticPr fontId="2" type="noConversion"/>
  </si>
  <si>
    <t>SGF2030 N/P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</si>
  <si>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</si>
  <si>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</si>
  <si>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2021년 08월 21일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</si>
  <si>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K-AR3550-1B(3C)</t>
    <phoneticPr fontId="2" type="noConversion"/>
  </si>
  <si>
    <t>AMB09J3C-KAA-R1</t>
    <phoneticPr fontId="2" type="noConversion"/>
  </si>
  <si>
    <t>AMB09J4B-KAA-R5</t>
    <phoneticPr fontId="2" type="noConversion"/>
  </si>
  <si>
    <t>전일 ISSUE 사항(21일)</t>
    <phoneticPr fontId="2" type="noConversion"/>
  </si>
  <si>
    <t>발주분양산-&gt;뜯김2회정지</t>
    <phoneticPr fontId="2" type="noConversion"/>
  </si>
  <si>
    <t>발주분양산-&gt;뜯김정지</t>
    <phoneticPr fontId="2" type="noConversion"/>
  </si>
  <si>
    <t>발주분양산-&gt;이물수리</t>
    <phoneticPr fontId="2" type="noConversion"/>
  </si>
  <si>
    <t>L/P</t>
    <phoneticPr fontId="2" type="noConversion"/>
  </si>
  <si>
    <t>당일 진행 사항(23일)</t>
    <phoneticPr fontId="2" type="noConversion"/>
  </si>
  <si>
    <t>7</t>
    <phoneticPr fontId="2" type="noConversion"/>
  </si>
  <si>
    <t>런너막힘정지</t>
    <phoneticPr fontId="2" type="noConversion"/>
  </si>
  <si>
    <t>AMM0827A-KAA-R2</t>
    <phoneticPr fontId="2" type="noConversion"/>
  </si>
  <si>
    <t>SAMPLE 진행 사항(21일)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</si>
  <si>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</si>
  <si>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</si>
  <si>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08월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</si>
  <si>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AMB07U1A-KAA-R5</t>
    <phoneticPr fontId="2" type="noConversion"/>
  </si>
  <si>
    <t>AMB0129A-KAA-R6</t>
    <phoneticPr fontId="2" type="noConversion"/>
  </si>
  <si>
    <t>NP413-187-105#MO</t>
    <phoneticPr fontId="2" type="noConversion"/>
  </si>
  <si>
    <t>BLUE</t>
    <phoneticPr fontId="2" type="noConversion"/>
  </si>
  <si>
    <t>LID/PUSHER</t>
    <phoneticPr fontId="2" type="noConversion"/>
  </si>
  <si>
    <t>HRCS-03C15H1/16</t>
    <phoneticPr fontId="2" type="noConversion"/>
  </si>
  <si>
    <t>2*1</t>
    <phoneticPr fontId="2" type="noConversion"/>
  </si>
  <si>
    <t>전일 ISSUE 사항(23일)</t>
    <phoneticPr fontId="2" type="noConversion"/>
  </si>
  <si>
    <t>HICON</t>
    <phoneticPr fontId="2" type="noConversion"/>
  </si>
  <si>
    <t>13</t>
    <phoneticPr fontId="2" type="noConversion"/>
  </si>
  <si>
    <t>LID/PUSHER</t>
    <phoneticPr fontId="2" type="noConversion"/>
  </si>
  <si>
    <t>당일 진행 사항(24일)</t>
    <phoneticPr fontId="2" type="noConversion"/>
  </si>
  <si>
    <t>9</t>
    <phoneticPr fontId="2" type="noConversion"/>
  </si>
  <si>
    <t>AMM0827A-KAA-R2</t>
    <phoneticPr fontId="2" type="noConversion"/>
  </si>
  <si>
    <t>발주분양산-&gt;코아파손2회정지</t>
    <phoneticPr fontId="2" type="noConversion"/>
  </si>
  <si>
    <t>NP413-187-105#IN-B</t>
    <phoneticPr fontId="2" type="noConversion"/>
  </si>
  <si>
    <t>발주분양산</t>
    <phoneticPr fontId="2" type="noConversion"/>
  </si>
  <si>
    <t>AYE</t>
    <phoneticPr fontId="2" type="noConversion"/>
  </si>
  <si>
    <t>11</t>
    <phoneticPr fontId="2" type="noConversion"/>
  </si>
  <si>
    <t>HDB0708-B1</t>
    <phoneticPr fontId="2" type="noConversion"/>
  </si>
  <si>
    <t>14</t>
    <phoneticPr fontId="2" type="noConversion"/>
  </si>
  <si>
    <t>NP628-1056-001#IN-B-1</t>
    <phoneticPr fontId="2" type="noConversion"/>
  </si>
  <si>
    <t>3</t>
    <phoneticPr fontId="2" type="noConversion"/>
  </si>
  <si>
    <t>AMM08008B-KAA-R1</t>
    <phoneticPr fontId="2" type="noConversion"/>
  </si>
  <si>
    <t>SAMPLE 진행 사항(23일)</t>
    <phoneticPr fontId="2" type="noConversion"/>
  </si>
  <si>
    <t>KR6197-GV153PNC</t>
    <phoneticPr fontId="2" type="noConversion"/>
  </si>
  <si>
    <t>AMB0366A-KAA-R3</t>
    <phoneticPr fontId="2" type="noConversion"/>
  </si>
  <si>
    <t>MCS</t>
    <phoneticPr fontId="2" type="noConversion"/>
  </si>
  <si>
    <t>COVER</t>
    <phoneticPr fontId="2" type="noConversion"/>
  </si>
  <si>
    <t>JD4901</t>
    <phoneticPr fontId="2" type="noConversion"/>
  </si>
  <si>
    <t>요청</t>
    <phoneticPr fontId="2" type="noConversion"/>
  </si>
  <si>
    <t>HDB08QL-102S2(1C)</t>
    <phoneticPr fontId="2" type="noConversion"/>
  </si>
  <si>
    <t>SLIDER</t>
    <phoneticPr fontId="2" type="noConversion"/>
  </si>
  <si>
    <t>SGF2030 N/P</t>
    <phoneticPr fontId="2" type="noConversion"/>
  </si>
  <si>
    <t>수정</t>
    <phoneticPr fontId="2" type="noConversion"/>
  </si>
  <si>
    <t>10</t>
    <phoneticPr fontId="2" type="noConversion"/>
  </si>
  <si>
    <t>BLOCK</t>
    <phoneticPr fontId="2" type="noConversion"/>
  </si>
  <si>
    <t xml:space="preserve">12*12/8*8BOTTOM  </t>
    <phoneticPr fontId="2" type="noConversion"/>
  </si>
  <si>
    <t>SF2255</t>
    <phoneticPr fontId="2" type="noConversion"/>
  </si>
  <si>
    <t>각50EA</t>
    <phoneticPr fontId="2" type="noConversion"/>
  </si>
  <si>
    <t>2종</t>
    <phoneticPr fontId="2" type="noConversion"/>
  </si>
  <si>
    <t>12*12 TOP</t>
    <phoneticPr fontId="2" type="noConversion"/>
  </si>
  <si>
    <t>5종</t>
    <phoneticPr fontId="2" type="noConversion"/>
  </si>
  <si>
    <t>각 50EA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</si>
  <si>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</si>
  <si>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</si>
  <si>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08월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</si>
  <si>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AMB1942A-KAA-R1</t>
    <phoneticPr fontId="2" type="noConversion"/>
  </si>
  <si>
    <t>전일 ISSUE 사항(24일)</t>
    <phoneticPr fontId="2" type="noConversion"/>
  </si>
  <si>
    <t>AMB1942A-KAA-R1</t>
    <phoneticPr fontId="2" type="noConversion"/>
  </si>
  <si>
    <t>AMB0359A-KAA-R2</t>
    <phoneticPr fontId="2" type="noConversion"/>
  </si>
  <si>
    <t>6</t>
    <phoneticPr fontId="2" type="noConversion"/>
  </si>
  <si>
    <t>COVER</t>
    <phoneticPr fontId="2" type="noConversion"/>
  </si>
  <si>
    <t>HDB0.65-S2B</t>
    <phoneticPr fontId="2" type="noConversion"/>
  </si>
  <si>
    <t>발주분양산-&gt;코아파손수리</t>
    <phoneticPr fontId="2" type="noConversion"/>
  </si>
  <si>
    <t>AMM0827A-KAA-R2</t>
    <phoneticPr fontId="2" type="noConversion"/>
  </si>
  <si>
    <t>수리후양산-&gt;코아파손2회정지</t>
    <phoneticPr fontId="2" type="noConversion"/>
  </si>
  <si>
    <t>9</t>
    <phoneticPr fontId="2" type="noConversion"/>
  </si>
  <si>
    <t>당일 진행 사항(25일)</t>
    <phoneticPr fontId="2" type="noConversion"/>
  </si>
  <si>
    <t>SAMPLE 진행 사항(24일)</t>
    <phoneticPr fontId="2" type="noConversion"/>
  </si>
  <si>
    <t>SST</t>
    <phoneticPr fontId="2" type="noConversion"/>
  </si>
  <si>
    <t>ADAPTER</t>
    <phoneticPr fontId="2" type="noConversion"/>
  </si>
  <si>
    <t>K-JR01908-G01ABA</t>
    <phoneticPr fontId="2" type="noConversion"/>
  </si>
  <si>
    <t>SGF2030 N/P</t>
    <phoneticPr fontId="2" type="noConversion"/>
  </si>
  <si>
    <t>이관</t>
    <phoneticPr fontId="2" type="noConversion"/>
  </si>
  <si>
    <t>10</t>
    <phoneticPr fontId="2" type="noConversion"/>
  </si>
  <si>
    <t>HICON</t>
    <phoneticPr fontId="2" type="noConversion"/>
  </si>
  <si>
    <t>8*8 BOTTOM</t>
    <phoneticPr fontId="2" type="noConversion"/>
  </si>
  <si>
    <t>SF2255</t>
    <phoneticPr fontId="2" type="noConversion"/>
  </si>
  <si>
    <t>수정</t>
    <phoneticPr fontId="2" type="noConversion"/>
  </si>
  <si>
    <t>14</t>
    <phoneticPr fontId="2" type="noConversion"/>
  </si>
  <si>
    <t>MCS</t>
    <phoneticPr fontId="2" type="noConversion"/>
  </si>
  <si>
    <t>JD4901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</si>
  <si>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</si>
  <si>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</si>
  <si>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2021년 08월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</si>
  <si>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KR6457-F315UA</t>
    <phoneticPr fontId="2" type="noConversion"/>
  </si>
  <si>
    <t>KR6457-C315TA</t>
    <phoneticPr fontId="2" type="noConversion"/>
  </si>
  <si>
    <t>K-JR01908-B221AUA</t>
    <phoneticPr fontId="2" type="noConversion"/>
  </si>
  <si>
    <t>전일 ISSUE 사항(25일)</t>
    <phoneticPr fontId="2" type="noConversion"/>
  </si>
  <si>
    <t>SST</t>
    <phoneticPr fontId="2" type="noConversion"/>
  </si>
  <si>
    <t>6</t>
    <phoneticPr fontId="2" type="noConversion"/>
  </si>
  <si>
    <t>KR6457-C315TA</t>
    <phoneticPr fontId="2" type="noConversion"/>
  </si>
  <si>
    <t>KR6457-F315UA</t>
    <phoneticPr fontId="2" type="noConversion"/>
  </si>
  <si>
    <t>금형이상수리</t>
    <phoneticPr fontId="2" type="noConversion"/>
  </si>
  <si>
    <t>AMB0172A-KAA-R3</t>
    <phoneticPr fontId="2" type="noConversion"/>
  </si>
  <si>
    <t>15</t>
    <phoneticPr fontId="2" type="noConversion"/>
  </si>
  <si>
    <t>발주분양산-&gt;금형히터고장뜯김</t>
    <phoneticPr fontId="2" type="noConversion"/>
  </si>
  <si>
    <t>K-JR01908-B221AUA</t>
    <phoneticPr fontId="2" type="noConversion"/>
  </si>
  <si>
    <t>14</t>
    <phoneticPr fontId="2" type="noConversion"/>
  </si>
  <si>
    <t>당일 진행 사항(26일)</t>
    <phoneticPr fontId="2" type="noConversion"/>
  </si>
  <si>
    <t>AMB1920A-KAA-R1</t>
    <phoneticPr fontId="2" type="noConversion"/>
  </si>
  <si>
    <t>13</t>
    <phoneticPr fontId="2" type="noConversion"/>
  </si>
  <si>
    <t>AMM08012A-KAA-R1</t>
    <phoneticPr fontId="2" type="noConversion"/>
  </si>
  <si>
    <t>KR6457-D315UA</t>
    <phoneticPr fontId="2" type="noConversion"/>
  </si>
  <si>
    <t>STOPPER</t>
    <phoneticPr fontId="2" type="noConversion"/>
  </si>
  <si>
    <t>001-744-20</t>
    <phoneticPr fontId="2" type="noConversion"/>
  </si>
  <si>
    <t>SAMPLE 진행 사항(25일)</t>
    <phoneticPr fontId="2" type="noConversion"/>
  </si>
  <si>
    <t>KR6457-A315YA</t>
    <phoneticPr fontId="2" type="noConversion"/>
  </si>
  <si>
    <t>SLIDER</t>
    <phoneticPr fontId="2" type="noConversion"/>
  </si>
  <si>
    <t>SGF2050,EX08302</t>
    <phoneticPr fontId="2" type="noConversion"/>
  </si>
  <si>
    <t>각50EA</t>
    <phoneticPr fontId="2" type="noConversion"/>
  </si>
  <si>
    <t>LEAD GUIDE</t>
    <phoneticPr fontId="2" type="noConversion"/>
  </si>
  <si>
    <t>NP612-154-007#LB</t>
    <phoneticPr fontId="2" type="noConversion"/>
  </si>
  <si>
    <t>AYE</t>
    <phoneticPr fontId="2" type="noConversion"/>
  </si>
  <si>
    <t>SGP2030R N/P</t>
    <phoneticPr fontId="2" type="noConversion"/>
  </si>
  <si>
    <t>10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</si>
  <si>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</si>
  <si>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</si>
  <si>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2021년 08월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</si>
  <si>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</si>
  <si>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발주분양산-&gt;BURR수리</t>
    <phoneticPr fontId="2" type="noConversion"/>
  </si>
  <si>
    <t>001-744-20</t>
    <phoneticPr fontId="2" type="noConversion"/>
  </si>
  <si>
    <t>수리후양산-&gt;코아파손정지</t>
    <phoneticPr fontId="2" type="noConversion"/>
  </si>
  <si>
    <t>수리후양산-&gt;뜯김수리-&gt;1C파손막음</t>
    <phoneticPr fontId="2" type="noConversion"/>
  </si>
  <si>
    <t>발주분양산-&gt;1C파손막음</t>
    <phoneticPr fontId="2" type="noConversion"/>
  </si>
  <si>
    <t>당일 진행 사항(27일)</t>
    <phoneticPr fontId="2" type="noConversion"/>
  </si>
  <si>
    <t>400H-ABG2622A-1</t>
    <phoneticPr fontId="2" type="noConversion"/>
  </si>
  <si>
    <t>AMB20G2B-KAA-R3</t>
    <phoneticPr fontId="2" type="noConversion"/>
  </si>
  <si>
    <t>1</t>
    <phoneticPr fontId="2" type="noConversion"/>
  </si>
  <si>
    <t>F/A</t>
    <phoneticPr fontId="2" type="noConversion"/>
  </si>
  <si>
    <t>HSA08-M03A1(PES)</t>
    <phoneticPr fontId="2" type="noConversion"/>
  </si>
  <si>
    <t>HICON</t>
    <phoneticPr fontId="2" type="noConversion"/>
  </si>
  <si>
    <t>6</t>
    <phoneticPr fontId="2" type="noConversion"/>
  </si>
  <si>
    <t>COVER</t>
    <phoneticPr fontId="2" type="noConversion"/>
  </si>
  <si>
    <t>HSA08-M02A1(PES)</t>
    <phoneticPr fontId="2" type="noConversion"/>
  </si>
  <si>
    <t>12</t>
    <phoneticPr fontId="2" type="noConversion"/>
  </si>
  <si>
    <t>SLIDER</t>
    <phoneticPr fontId="2" type="noConversion"/>
  </si>
  <si>
    <t>SAMPLE 진행 사항(26일)</t>
    <phoneticPr fontId="2" type="noConversion"/>
  </si>
  <si>
    <t>KR6457-GA315PNA</t>
    <phoneticPr fontId="2" type="noConversion"/>
  </si>
  <si>
    <t>SST</t>
    <phoneticPr fontId="2" type="noConversion"/>
  </si>
  <si>
    <t>ADAPTER</t>
    <phoneticPr fontId="2" type="noConversion"/>
  </si>
  <si>
    <t>SF2250EPR N/P</t>
    <phoneticPr fontId="2" type="noConversion"/>
  </si>
  <si>
    <t>수정</t>
    <phoneticPr fontId="2" type="noConversion"/>
  </si>
  <si>
    <t>KR6457-B315UA</t>
    <phoneticPr fontId="2" type="noConversion"/>
  </si>
  <si>
    <t>BASE</t>
    <phoneticPr fontId="2" type="noConversion"/>
  </si>
  <si>
    <t>SF2250EPR</t>
    <phoneticPr fontId="2" type="noConversion"/>
  </si>
  <si>
    <t>3</t>
    <phoneticPr fontId="2" type="noConversion"/>
  </si>
  <si>
    <t>1게이트 뜯김</t>
    <phoneticPr fontId="2" type="noConversion"/>
  </si>
  <si>
    <t>KR6457-A315YA</t>
    <phoneticPr fontId="2" type="noConversion"/>
  </si>
  <si>
    <t>SGF2050,EX08302</t>
    <phoneticPr fontId="2" type="noConversion"/>
  </si>
  <si>
    <t>요청</t>
    <phoneticPr fontId="2" type="noConversion"/>
  </si>
  <si>
    <t>각50EA</t>
    <phoneticPr fontId="2" type="noConversion"/>
  </si>
  <si>
    <t>1GATE 2종,2GATE 2종</t>
    <phoneticPr fontId="2" type="noConversion"/>
  </si>
  <si>
    <t>12X12 BOTTOM</t>
    <phoneticPr fontId="2" type="noConversion"/>
  </si>
  <si>
    <t>SF2255</t>
    <phoneticPr fontId="2" type="noConversion"/>
  </si>
  <si>
    <t>8</t>
    <phoneticPr fontId="2" type="noConversion"/>
  </si>
  <si>
    <t>8X8 BOTTOM</t>
    <phoneticPr fontId="2" type="noConversion"/>
  </si>
  <si>
    <t>HDB08NL-78S2(E번)</t>
    <phoneticPr fontId="2" type="noConversion"/>
  </si>
  <si>
    <t>SGF2030 N/P</t>
    <phoneticPr fontId="2" type="noConversion"/>
  </si>
  <si>
    <t>HDB08PL-96S2(4C)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</si>
  <si>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</si>
  <si>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</si>
  <si>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08월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</si>
  <si>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K-AR3545-1A</t>
    <phoneticPr fontId="2" type="noConversion"/>
  </si>
  <si>
    <t>전일 ISSUE 사항(27일)</t>
    <phoneticPr fontId="2" type="noConversion"/>
  </si>
  <si>
    <t>설비이동</t>
    <phoneticPr fontId="2" type="noConversion"/>
  </si>
  <si>
    <t>ADAPTER</t>
    <phoneticPr fontId="2" type="noConversion"/>
  </si>
  <si>
    <t>HSA08-M03A1(PES)</t>
    <phoneticPr fontId="2" type="noConversion"/>
  </si>
  <si>
    <t>코아파손2회수리</t>
    <phoneticPr fontId="2" type="noConversion"/>
  </si>
  <si>
    <t>수리후양산-&gt;1C파손막음</t>
    <phoneticPr fontId="2" type="noConversion"/>
  </si>
  <si>
    <t>12</t>
    <phoneticPr fontId="2" type="noConversion"/>
  </si>
  <si>
    <t>SLIDER</t>
    <phoneticPr fontId="2" type="noConversion"/>
  </si>
  <si>
    <t>HSA08-M02A1(PES)</t>
    <phoneticPr fontId="2" type="noConversion"/>
  </si>
  <si>
    <t>당일 진행 사항(28일)</t>
    <phoneticPr fontId="2" type="noConversion"/>
  </si>
  <si>
    <t>SST</t>
    <phoneticPr fontId="2" type="noConversion"/>
  </si>
  <si>
    <t>1</t>
    <phoneticPr fontId="2" type="noConversion"/>
  </si>
  <si>
    <t>KR6197-GG153PNB</t>
    <phoneticPr fontId="2" type="noConversion"/>
  </si>
  <si>
    <t>HDB0708-S2</t>
    <phoneticPr fontId="2" type="noConversion"/>
  </si>
  <si>
    <t>AMM08008A-KAA-R1</t>
    <phoneticPr fontId="2" type="noConversion"/>
  </si>
  <si>
    <t>K-AR3544-1A</t>
    <phoneticPr fontId="2" type="noConversion"/>
  </si>
  <si>
    <t>36</t>
    <phoneticPr fontId="2" type="noConversion"/>
  </si>
  <si>
    <t>34</t>
    <phoneticPr fontId="2" type="noConversion"/>
  </si>
  <si>
    <t>K-AR3545-1A</t>
    <phoneticPr fontId="2" type="noConversion"/>
  </si>
  <si>
    <t>SAMPLE 진행 사항(27일)</t>
    <phoneticPr fontId="2" type="noConversion"/>
  </si>
  <si>
    <t>2829HQN05-4024-B2</t>
    <phoneticPr fontId="2" type="noConversion"/>
  </si>
  <si>
    <t>HICON</t>
    <phoneticPr fontId="2" type="noConversion"/>
  </si>
  <si>
    <t>BOTTOM</t>
    <phoneticPr fontId="2" type="noConversion"/>
  </si>
  <si>
    <t>SGF2033</t>
    <phoneticPr fontId="2" type="noConversion"/>
  </si>
  <si>
    <t>옵션</t>
    <phoneticPr fontId="2" type="noConversion"/>
  </si>
  <si>
    <t>6</t>
    <phoneticPr fontId="2" type="noConversion"/>
  </si>
  <si>
    <t>4X8 BOTTOM</t>
    <phoneticPr fontId="2" type="noConversion"/>
  </si>
  <si>
    <t>SF2255</t>
    <phoneticPr fontId="2" type="noConversion"/>
  </si>
  <si>
    <t>수정</t>
    <phoneticPr fontId="2" type="noConversion"/>
  </si>
  <si>
    <t>8</t>
    <phoneticPr fontId="2" type="noConversion"/>
  </si>
  <si>
    <t>6X12 BOTTOM</t>
    <phoneticPr fontId="2" type="noConversion"/>
  </si>
  <si>
    <t>2829HQN05-4024-F3</t>
    <phoneticPr fontId="2" type="noConversion"/>
  </si>
  <si>
    <t>10</t>
    <phoneticPr fontId="2" type="noConversion"/>
  </si>
  <si>
    <t>FLOATING</t>
    <phoneticPr fontId="2" type="noConversion"/>
  </si>
  <si>
    <t>KR6457-GB315PNA</t>
    <phoneticPr fontId="2" type="noConversion"/>
  </si>
  <si>
    <t>SF2250EPR N/P</t>
    <phoneticPr fontId="2" type="noConversion"/>
  </si>
  <si>
    <t>미성형2회진행</t>
    <phoneticPr fontId="2" type="noConversion"/>
  </si>
  <si>
    <t>HDB08J-M02A1(1C)</t>
    <phoneticPr fontId="2" type="noConversion"/>
  </si>
  <si>
    <t>SGF2030 N/P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</si>
  <si>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</si>
  <si>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</si>
  <si>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08월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</si>
  <si>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K-JR01933-C03AWA</t>
    <phoneticPr fontId="2" type="noConversion"/>
  </si>
  <si>
    <t>4LEAD</t>
    <phoneticPr fontId="2" type="noConversion"/>
  </si>
  <si>
    <t>009-019-004</t>
    <phoneticPr fontId="2" type="noConversion"/>
  </si>
  <si>
    <t>전일 ISSUE 사항(28일)</t>
    <phoneticPr fontId="2" type="noConversion"/>
  </si>
  <si>
    <t>발주분양산-&gt;칼퀴파손수리</t>
    <phoneticPr fontId="2" type="noConversion"/>
  </si>
  <si>
    <t>수리후양산-&gt;형상이상정지</t>
    <phoneticPr fontId="2" type="noConversion"/>
  </si>
  <si>
    <t>코아파손2회정지</t>
    <phoneticPr fontId="2" type="noConversion"/>
  </si>
  <si>
    <t>당일 진행 사항(30일)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</si>
  <si>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</si>
  <si>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</si>
  <si>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</si>
  <si>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08월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</si>
  <si>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전일 ISSUE 사항(30일)</t>
    <phoneticPr fontId="2" type="noConversion"/>
  </si>
  <si>
    <t>코아파손수리후양산</t>
    <phoneticPr fontId="2" type="noConversion"/>
  </si>
  <si>
    <t>AMM0827A-KAA-R2</t>
    <phoneticPr fontId="2" type="noConversion"/>
  </si>
  <si>
    <t>발주분양산-&gt;코아파손정지</t>
    <phoneticPr fontId="2" type="noConversion"/>
  </si>
  <si>
    <t>9</t>
    <phoneticPr fontId="2" type="noConversion"/>
  </si>
  <si>
    <t>당일 진행 사항(31일)</t>
    <phoneticPr fontId="2" type="noConversion"/>
  </si>
  <si>
    <t>K-JR01903-A180AWB</t>
    <phoneticPr fontId="2" type="noConversion"/>
  </si>
  <si>
    <t>발준양산</t>
    <phoneticPr fontId="2" type="noConversion"/>
  </si>
  <si>
    <t>SST</t>
    <phoneticPr fontId="2" type="noConversion"/>
  </si>
  <si>
    <t>3</t>
    <phoneticPr fontId="2" type="noConversion"/>
  </si>
  <si>
    <t>SLIDER</t>
    <phoneticPr fontId="2" type="noConversion"/>
  </si>
  <si>
    <t>SAMPLE 진행 사항(30일)</t>
    <phoneticPr fontId="2" type="noConversion"/>
  </si>
  <si>
    <t>AMM08012A-KAA-R1</t>
    <phoneticPr fontId="2" type="noConversion"/>
  </si>
  <si>
    <t>MCS</t>
    <phoneticPr fontId="2" type="noConversion"/>
  </si>
  <si>
    <t>BASE</t>
    <phoneticPr fontId="2" type="noConversion"/>
  </si>
  <si>
    <t>G1300H</t>
    <phoneticPr fontId="2" type="noConversion"/>
  </si>
  <si>
    <t>요청</t>
    <phoneticPr fontId="2" type="noConversion"/>
  </si>
  <si>
    <t>코아파손수리</t>
    <phoneticPr fontId="2" type="noConversion"/>
  </si>
  <si>
    <t>2829HQN05-4024-B1</t>
    <phoneticPr fontId="2" type="noConversion"/>
  </si>
  <si>
    <t>HICON</t>
    <phoneticPr fontId="2" type="noConversion"/>
  </si>
  <si>
    <t>SGF2033</t>
    <phoneticPr fontId="2" type="noConversion"/>
  </si>
  <si>
    <t>옵션</t>
    <phoneticPr fontId="2" type="noConversion"/>
  </si>
  <si>
    <t>6</t>
    <phoneticPr fontId="2" type="noConversion"/>
  </si>
  <si>
    <t>형상이상</t>
    <phoneticPr fontId="2" type="noConversion"/>
  </si>
  <si>
    <t>KR6197-GV153PNC</t>
    <phoneticPr fontId="2" type="noConversion"/>
  </si>
  <si>
    <t>HDB08QL-102S2(1C)</t>
    <phoneticPr fontId="2" type="noConversion"/>
  </si>
  <si>
    <t>ADAPTER</t>
    <phoneticPr fontId="2" type="noConversion"/>
  </si>
  <si>
    <t>SF2250EPR N/P</t>
    <phoneticPr fontId="2" type="noConversion"/>
  </si>
  <si>
    <t>수정</t>
    <phoneticPr fontId="2" type="noConversion"/>
  </si>
  <si>
    <t>10</t>
    <phoneticPr fontId="2" type="noConversion"/>
  </si>
  <si>
    <t>SGF2030 N/P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</si>
  <si>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</si>
  <si>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</si>
  <si>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2021년 08월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</si>
  <si>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K-JR01903-A180AWB</t>
    <phoneticPr fontId="2" type="noConversion"/>
  </si>
  <si>
    <t>LATCH</t>
    <phoneticPr fontId="2" type="noConversion"/>
  </si>
  <si>
    <t>K-JR01933-E02AWA</t>
    <phoneticPr fontId="2" type="noConversion"/>
  </si>
  <si>
    <t>8*8</t>
    <phoneticPr fontId="2" type="noConversion"/>
  </si>
  <si>
    <t>12*12</t>
    <phoneticPr fontId="2" type="noConversion"/>
  </si>
  <si>
    <t>AAM0818B-KAB-R3</t>
    <phoneticPr fontId="2" type="noConversion"/>
  </si>
  <si>
    <t>HDB0708-C3</t>
    <phoneticPr fontId="2" type="noConversion"/>
  </si>
  <si>
    <t>24P(4POST)</t>
    <phoneticPr fontId="2" type="noConversion"/>
  </si>
  <si>
    <t>K-AR3537-1A</t>
    <phoneticPr fontId="2" type="noConversion"/>
  </si>
  <si>
    <t>전일 ISSUE 사항(31일)</t>
    <phoneticPr fontId="2" type="noConversion"/>
  </si>
  <si>
    <t>K-JR01933-E02AWA</t>
    <phoneticPr fontId="2" type="noConversion"/>
  </si>
  <si>
    <t>발주분양산-&gt;BURR수리-&gt;뜯김정지</t>
    <phoneticPr fontId="2" type="noConversion"/>
  </si>
  <si>
    <t>8X8 TOP</t>
    <phoneticPr fontId="2" type="noConversion"/>
  </si>
  <si>
    <t>12*12 BOTTOM</t>
    <phoneticPr fontId="2" type="noConversion"/>
  </si>
  <si>
    <t>AAM0818B-KAB-R3</t>
    <phoneticPr fontId="2" type="noConversion"/>
  </si>
  <si>
    <t>9</t>
    <phoneticPr fontId="2" type="noConversion"/>
  </si>
  <si>
    <t>NP413-187-105#IN-B</t>
    <phoneticPr fontId="2" type="noConversion"/>
  </si>
  <si>
    <t>수리후양산-&gt;상측박힘정지</t>
    <phoneticPr fontId="2" type="noConversion"/>
  </si>
  <si>
    <t>AYE</t>
    <phoneticPr fontId="2" type="noConversion"/>
  </si>
  <si>
    <t>11</t>
    <phoneticPr fontId="2" type="noConversion"/>
  </si>
  <si>
    <t>당일 진행 사항(01일)</t>
    <phoneticPr fontId="2" type="noConversion"/>
  </si>
  <si>
    <t>AMB0355A-KAA-R2</t>
    <phoneticPr fontId="2" type="noConversion"/>
  </si>
  <si>
    <t>BASE</t>
    <phoneticPr fontId="2" type="noConversion"/>
  </si>
  <si>
    <t>K-JR01903-B180AWB</t>
    <phoneticPr fontId="2" type="noConversion"/>
  </si>
  <si>
    <t>SAMPLE 진행 사항(31일)</t>
    <phoneticPr fontId="2" type="noConversion"/>
  </si>
  <si>
    <t>AMM08007A-KAA-R1</t>
    <phoneticPr fontId="2" type="noConversion"/>
  </si>
  <si>
    <t>GN2330</t>
    <phoneticPr fontId="2" type="noConversion"/>
  </si>
  <si>
    <t>요청</t>
    <phoneticPr fontId="2" type="noConversion"/>
  </si>
  <si>
    <t>휨</t>
    <phoneticPr fontId="2" type="noConversion"/>
  </si>
  <si>
    <t>MCS</t>
    <phoneticPr fontId="2" type="noConversion"/>
  </si>
  <si>
    <t>262C83A-B150A</t>
    <phoneticPr fontId="2" type="noConversion"/>
  </si>
  <si>
    <t>OKINS</t>
    <phoneticPr fontId="2" type="noConversion"/>
  </si>
  <si>
    <t>SF2255 I/V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</si>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</sst>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29" xfId="2" applyFont="1" applyFill="1" applyBorder="1" applyAlignment="1">
      <alignment horizontal="center" vertical="center"/>
    </xf>
    <xf numFmtId="0" fontId="19" fillId="2" borderId="16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42" fontId="15" fillId="0" borderId="22" xfId="7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0">
                  <c:v>1166</c:v>
                </c:pt>
                <c:pt idx="1">
                  <c:v>11086</c:v>
                </c:pt>
                <c:pt idx="2">
                  <c:v>500</c:v>
                </c:pt>
                <c:pt idx="3">
                  <c:v>5267</c:v>
                </c:pt>
                <c:pt idx="4">
                  <c:v>2358</c:v>
                </c:pt>
                <c:pt idx="5">
                  <c:v>2532</c:v>
                </c:pt>
                <c:pt idx="6">
                  <c:v>5075</c:v>
                </c:pt>
                <c:pt idx="7">
                  <c:v>12380</c:v>
                </c:pt>
                <c:pt idx="8">
                  <c:v>1144</c:v>
                </c:pt>
                <c:pt idx="10">
                  <c:v>318112</c:v>
                </c:pt>
                <c:pt idx="12">
                  <c:v>11326</c:v>
                </c:pt>
                <c:pt idx="13">
                  <c:v>5975</c:v>
                </c:pt>
                <c:pt idx="14">
                  <c:v>24856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5-4236-B837-5F3CA07F4CCC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1166</c:v>
                </c:pt>
                <c:pt idx="1">
                  <c:v>11086</c:v>
                </c:pt>
                <c:pt idx="2">
                  <c:v>500</c:v>
                </c:pt>
                <c:pt idx="3">
                  <c:v>5267</c:v>
                </c:pt>
                <c:pt idx="4">
                  <c:v>2358</c:v>
                </c:pt>
                <c:pt idx="5">
                  <c:v>2532</c:v>
                </c:pt>
                <c:pt idx="6">
                  <c:v>5075</c:v>
                </c:pt>
                <c:pt idx="7">
                  <c:v>12380</c:v>
                </c:pt>
                <c:pt idx="8">
                  <c:v>1144</c:v>
                </c:pt>
                <c:pt idx="9">
                  <c:v>76</c:v>
                </c:pt>
                <c:pt idx="10">
                  <c:v>318112</c:v>
                </c:pt>
                <c:pt idx="11">
                  <c:v>4211</c:v>
                </c:pt>
                <c:pt idx="12">
                  <c:v>11326</c:v>
                </c:pt>
                <c:pt idx="13">
                  <c:v>5975</c:v>
                </c:pt>
                <c:pt idx="14">
                  <c:v>24856</c:v>
                </c:pt>
                <c:pt idx="15">
                  <c:v>8901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5-4236-B837-5F3CA07F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25%</c:v>
                </c:pt>
                <c:pt idx="1">
                  <c:v>100%</c:v>
                </c:pt>
                <c:pt idx="2">
                  <c:v>13%</c:v>
                </c:pt>
                <c:pt idx="3">
                  <c:v>100%</c:v>
                </c:pt>
                <c:pt idx="4">
                  <c:v>25%</c:v>
                </c:pt>
                <c:pt idx="5">
                  <c:v>50%</c:v>
                </c:pt>
                <c:pt idx="6">
                  <c:v>100%</c:v>
                </c:pt>
                <c:pt idx="7">
                  <c:v>100%</c:v>
                </c:pt>
                <c:pt idx="8">
                  <c:v>42%</c:v>
                </c:pt>
                <c:pt idx="9">
                  <c:v>0%</c:v>
                </c:pt>
                <c:pt idx="10">
                  <c:v>79%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0.25</c:v>
                </c:pt>
                <c:pt idx="1">
                  <c:v>1</c:v>
                </c:pt>
                <c:pt idx="2">
                  <c:v>0.125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0.41666666666666669</c:v>
                </c:pt>
                <c:pt idx="9">
                  <c:v>0</c:v>
                </c:pt>
                <c:pt idx="10">
                  <c:v>0.79166666666666663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6-4C4D-9F5E-AA40263059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D6-4C4D-9F5E-AA40263059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0.42424242424242425</c:v>
                </c:pt>
                <c:pt idx="1">
                  <c:v>0.42424242424242425</c:v>
                </c:pt>
                <c:pt idx="2">
                  <c:v>0.42424242424242425</c:v>
                </c:pt>
                <c:pt idx="3">
                  <c:v>0.42424242424242425</c:v>
                </c:pt>
                <c:pt idx="4">
                  <c:v>0.42424242424242425</c:v>
                </c:pt>
                <c:pt idx="5">
                  <c:v>0.42424242424242425</c:v>
                </c:pt>
                <c:pt idx="6">
                  <c:v>0.42424242424242425</c:v>
                </c:pt>
                <c:pt idx="7">
                  <c:v>0.42424242424242425</c:v>
                </c:pt>
                <c:pt idx="8">
                  <c:v>0.42424242424242425</c:v>
                </c:pt>
                <c:pt idx="9">
                  <c:v>0.42424242424242425</c:v>
                </c:pt>
                <c:pt idx="10">
                  <c:v>0.42424242424242425</c:v>
                </c:pt>
                <c:pt idx="11">
                  <c:v>0.42424242424242425</c:v>
                </c:pt>
                <c:pt idx="12">
                  <c:v>0.42424242424242425</c:v>
                </c:pt>
                <c:pt idx="13">
                  <c:v>0.42424242424242425</c:v>
                </c:pt>
                <c:pt idx="14">
                  <c:v>0.42424242424242425</c:v>
                </c:pt>
                <c:pt idx="15">
                  <c:v>0.42424242424242425</c:v>
                </c:pt>
                <c:pt idx="16">
                  <c:v>0.42424242424242425</c:v>
                </c:pt>
                <c:pt idx="17">
                  <c:v>0.42424242424242425</c:v>
                </c:pt>
                <c:pt idx="18">
                  <c:v>0.42424242424242425</c:v>
                </c:pt>
                <c:pt idx="19">
                  <c:v>0.42424242424242425</c:v>
                </c:pt>
                <c:pt idx="20">
                  <c:v>0.42424242424242425</c:v>
                </c:pt>
                <c:pt idx="21">
                  <c:v>0.42424242424242425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D6-4C4D-9F5E-AA4026305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0">
                  <c:v>1166</c:v>
                </c:pt>
                <c:pt idx="1">
                  <c:v>11086</c:v>
                </c:pt>
                <c:pt idx="2">
                  <c:v>500</c:v>
                </c:pt>
                <c:pt idx="3">
                  <c:v>5267</c:v>
                </c:pt>
                <c:pt idx="4">
                  <c:v>2358</c:v>
                </c:pt>
                <c:pt idx="5">
                  <c:v>2532</c:v>
                </c:pt>
                <c:pt idx="6">
                  <c:v>5075</c:v>
                </c:pt>
                <c:pt idx="7">
                  <c:v>12380</c:v>
                </c:pt>
                <c:pt idx="8">
                  <c:v>1144</c:v>
                </c:pt>
                <c:pt idx="10">
                  <c:v>318112</c:v>
                </c:pt>
                <c:pt idx="12">
                  <c:v>11326</c:v>
                </c:pt>
                <c:pt idx="13">
                  <c:v>5975</c:v>
                </c:pt>
                <c:pt idx="14">
                  <c:v>24856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2-4A1E-94DB-245019DF7588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1166</c:v>
                </c:pt>
                <c:pt idx="1">
                  <c:v>11086</c:v>
                </c:pt>
                <c:pt idx="2">
                  <c:v>500</c:v>
                </c:pt>
                <c:pt idx="3">
                  <c:v>5267</c:v>
                </c:pt>
                <c:pt idx="4">
                  <c:v>2358</c:v>
                </c:pt>
                <c:pt idx="5">
                  <c:v>2532</c:v>
                </c:pt>
                <c:pt idx="6">
                  <c:v>5075</c:v>
                </c:pt>
                <c:pt idx="7">
                  <c:v>12380</c:v>
                </c:pt>
                <c:pt idx="8">
                  <c:v>1144</c:v>
                </c:pt>
                <c:pt idx="9">
                  <c:v>76</c:v>
                </c:pt>
                <c:pt idx="10">
                  <c:v>318112</c:v>
                </c:pt>
                <c:pt idx="11">
                  <c:v>4211</c:v>
                </c:pt>
                <c:pt idx="12">
                  <c:v>11326</c:v>
                </c:pt>
                <c:pt idx="13">
                  <c:v>5975</c:v>
                </c:pt>
                <c:pt idx="14">
                  <c:v>24856</c:v>
                </c:pt>
                <c:pt idx="15">
                  <c:v>8901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2-4A1E-94DB-245019DF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25%</c:v>
                </c:pt>
                <c:pt idx="1">
                  <c:v>100%</c:v>
                </c:pt>
                <c:pt idx="2">
                  <c:v>13%</c:v>
                </c:pt>
                <c:pt idx="3">
                  <c:v>100%</c:v>
                </c:pt>
                <c:pt idx="4">
                  <c:v>25%</c:v>
                </c:pt>
                <c:pt idx="5">
                  <c:v>50%</c:v>
                </c:pt>
                <c:pt idx="6">
                  <c:v>100%</c:v>
                </c:pt>
                <c:pt idx="7">
                  <c:v>100%</c:v>
                </c:pt>
                <c:pt idx="8">
                  <c:v>42%</c:v>
                </c:pt>
                <c:pt idx="9">
                  <c:v>0%</c:v>
                </c:pt>
                <c:pt idx="10">
                  <c:v>79%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0.25</c:v>
                </c:pt>
                <c:pt idx="1">
                  <c:v>1</c:v>
                </c:pt>
                <c:pt idx="2">
                  <c:v>0.125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0.41666666666666669</c:v>
                </c:pt>
                <c:pt idx="9">
                  <c:v>0</c:v>
                </c:pt>
                <c:pt idx="10">
                  <c:v>0.79166666666666663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D-4A26-94C3-4BEAF9F848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3D-4A26-94C3-4BEAF9F848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CASE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0.42424242424242425</c:v>
                </c:pt>
                <c:pt idx="1">
                  <c:v>0.42424242424242425</c:v>
                </c:pt>
                <c:pt idx="2">
                  <c:v>0.42424242424242425</c:v>
                </c:pt>
                <c:pt idx="3">
                  <c:v>0.42424242424242425</c:v>
                </c:pt>
                <c:pt idx="4">
                  <c:v>0.42424242424242425</c:v>
                </c:pt>
                <c:pt idx="5">
                  <c:v>0.42424242424242425</c:v>
                </c:pt>
                <c:pt idx="6">
                  <c:v>0.42424242424242425</c:v>
                </c:pt>
                <c:pt idx="7">
                  <c:v>0.42424242424242425</c:v>
                </c:pt>
                <c:pt idx="8">
                  <c:v>0.42424242424242425</c:v>
                </c:pt>
                <c:pt idx="9">
                  <c:v>0.42424242424242425</c:v>
                </c:pt>
                <c:pt idx="10">
                  <c:v>0.42424242424242425</c:v>
                </c:pt>
                <c:pt idx="11">
                  <c:v>0.42424242424242425</c:v>
                </c:pt>
                <c:pt idx="12">
                  <c:v>0.42424242424242425</c:v>
                </c:pt>
                <c:pt idx="13">
                  <c:v>0.42424242424242425</c:v>
                </c:pt>
                <c:pt idx="14">
                  <c:v>0.42424242424242425</c:v>
                </c:pt>
                <c:pt idx="15">
                  <c:v>0.42424242424242425</c:v>
                </c:pt>
                <c:pt idx="16">
                  <c:v>0.42424242424242425</c:v>
                </c:pt>
                <c:pt idx="17">
                  <c:v>0.42424242424242425</c:v>
                </c:pt>
                <c:pt idx="18">
                  <c:v>0.42424242424242425</c:v>
                </c:pt>
                <c:pt idx="19">
                  <c:v>0.42424242424242425</c:v>
                </c:pt>
                <c:pt idx="20">
                  <c:v>0.42424242424242425</c:v>
                </c:pt>
                <c:pt idx="21">
                  <c:v>0.42424242424242425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3D-4A26-94C3-4BEAF9F84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732-4634-8588-B77686CAAC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2-4634-8588-B77686CA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732-4634-8588-B77686CAAC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32-4634-8588-B77686CA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'03'!$L$6:$L$28</c:f>
              <c:numCache>
                <c:formatCode>_(* #,##0_);_(* \(#,##0\);_(* "-"_);_(@_)</c:formatCode>
                <c:ptCount val="23"/>
                <c:pt idx="1">
                  <c:v>11600</c:v>
                </c:pt>
                <c:pt idx="2">
                  <c:v>1400</c:v>
                </c:pt>
                <c:pt idx="3">
                  <c:v>1839</c:v>
                </c:pt>
                <c:pt idx="4">
                  <c:v>1019</c:v>
                </c:pt>
                <c:pt idx="7">
                  <c:v>5268</c:v>
                </c:pt>
                <c:pt idx="8">
                  <c:v>15812</c:v>
                </c:pt>
                <c:pt idx="9">
                  <c:v>1166</c:v>
                </c:pt>
                <c:pt idx="11">
                  <c:v>317730</c:v>
                </c:pt>
                <c:pt idx="14">
                  <c:v>6395</c:v>
                </c:pt>
                <c:pt idx="15">
                  <c:v>20332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7-4BF8-910A-43AE4275650E}"/>
            </c:ext>
          </c:extLst>
        </c:ser>
        <c:ser>
          <c:idx val="1"/>
          <c:order val="1"/>
          <c:tx>
            <c:v>계획</c:v>
          </c:tx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'03'!$J$6:$J$28</c:f>
              <c:numCache>
                <c:formatCode>_(* #,##0_);_(* \(#,##0\);_(* "-"_);_(@_)</c:formatCode>
                <c:ptCount val="23"/>
                <c:pt idx="0">
                  <c:v>1166</c:v>
                </c:pt>
                <c:pt idx="1">
                  <c:v>11600</c:v>
                </c:pt>
                <c:pt idx="2">
                  <c:v>1400</c:v>
                </c:pt>
                <c:pt idx="3">
                  <c:v>1839</c:v>
                </c:pt>
                <c:pt idx="4">
                  <c:v>1019</c:v>
                </c:pt>
                <c:pt idx="5">
                  <c:v>2358</c:v>
                </c:pt>
                <c:pt idx="6">
                  <c:v>2532</c:v>
                </c:pt>
                <c:pt idx="7">
                  <c:v>5268</c:v>
                </c:pt>
                <c:pt idx="8">
                  <c:v>15812</c:v>
                </c:pt>
                <c:pt idx="9">
                  <c:v>1166</c:v>
                </c:pt>
                <c:pt idx="10">
                  <c:v>76</c:v>
                </c:pt>
                <c:pt idx="11">
                  <c:v>317730</c:v>
                </c:pt>
                <c:pt idx="12">
                  <c:v>4211</c:v>
                </c:pt>
                <c:pt idx="13">
                  <c:v>11326</c:v>
                </c:pt>
                <c:pt idx="14">
                  <c:v>6395</c:v>
                </c:pt>
                <c:pt idx="15">
                  <c:v>20332</c:v>
                </c:pt>
                <c:pt idx="16">
                  <c:v>8901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7-4BF8-910A-43AE42756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29%</c:v>
                </c:pt>
                <c:pt idx="3">
                  <c:v>38%</c:v>
                </c:pt>
                <c:pt idx="4">
                  <c:v>21%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63%</c:v>
                </c:pt>
                <c:pt idx="9">
                  <c:v>42%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0.29166666666666669</c:v>
                </c:pt>
                <c:pt idx="3">
                  <c:v>0.375</c:v>
                </c:pt>
                <c:pt idx="4">
                  <c:v>0.20833333333333334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0.625</c:v>
                </c:pt>
                <c:pt idx="9">
                  <c:v>0.41666666666666669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5-4673-858F-E165B420AE4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75-4673-858F-E165B420AE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'03'!$AE$6:$AE$28</c:f>
              <c:numCache>
                <c:formatCode>0%</c:formatCode>
                <c:ptCount val="23"/>
                <c:pt idx="0">
                  <c:v>0.28804347826086957</c:v>
                </c:pt>
                <c:pt idx="1">
                  <c:v>0.28804347826086957</c:v>
                </c:pt>
                <c:pt idx="2">
                  <c:v>0.28804347826086957</c:v>
                </c:pt>
                <c:pt idx="3">
                  <c:v>0.28804347826086957</c:v>
                </c:pt>
                <c:pt idx="4">
                  <c:v>0.28804347826086957</c:v>
                </c:pt>
                <c:pt idx="5">
                  <c:v>0.28804347826086957</c:v>
                </c:pt>
                <c:pt idx="6">
                  <c:v>0.28804347826086957</c:v>
                </c:pt>
                <c:pt idx="7">
                  <c:v>0.28804347826086957</c:v>
                </c:pt>
                <c:pt idx="8">
                  <c:v>0.28804347826086957</c:v>
                </c:pt>
                <c:pt idx="9">
                  <c:v>0.28804347826086957</c:v>
                </c:pt>
                <c:pt idx="10">
                  <c:v>0.28804347826086957</c:v>
                </c:pt>
                <c:pt idx="11">
                  <c:v>0.28804347826086957</c:v>
                </c:pt>
                <c:pt idx="12">
                  <c:v>0.28804347826086957</c:v>
                </c:pt>
                <c:pt idx="13">
                  <c:v>0.28804347826086957</c:v>
                </c:pt>
                <c:pt idx="14">
                  <c:v>0.28804347826086957</c:v>
                </c:pt>
                <c:pt idx="15">
                  <c:v>0.28804347826086957</c:v>
                </c:pt>
                <c:pt idx="16">
                  <c:v>0.28804347826086957</c:v>
                </c:pt>
                <c:pt idx="17">
                  <c:v>0.28804347826086957</c:v>
                </c:pt>
                <c:pt idx="18">
                  <c:v>0.28804347826086957</c:v>
                </c:pt>
                <c:pt idx="19">
                  <c:v>0.28804347826086957</c:v>
                </c:pt>
                <c:pt idx="20">
                  <c:v>0.28804347826086957</c:v>
                </c:pt>
                <c:pt idx="21">
                  <c:v>0.28804347826086957</c:v>
                </c:pt>
                <c:pt idx="22">
                  <c:v>0.28804347826086957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5-4673-858F-E165B420A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'03'!$L$6:$L$28</c:f>
              <c:numCache>
                <c:formatCode>_(* #,##0_);_(* \(#,##0\);_(* "-"_);_(@_)</c:formatCode>
                <c:ptCount val="23"/>
                <c:pt idx="1">
                  <c:v>11600</c:v>
                </c:pt>
                <c:pt idx="2">
                  <c:v>1400</c:v>
                </c:pt>
                <c:pt idx="3">
                  <c:v>1839</c:v>
                </c:pt>
                <c:pt idx="4">
                  <c:v>1019</c:v>
                </c:pt>
                <c:pt idx="7">
                  <c:v>5268</c:v>
                </c:pt>
                <c:pt idx="8">
                  <c:v>15812</c:v>
                </c:pt>
                <c:pt idx="9">
                  <c:v>1166</c:v>
                </c:pt>
                <c:pt idx="11">
                  <c:v>317730</c:v>
                </c:pt>
                <c:pt idx="14">
                  <c:v>6395</c:v>
                </c:pt>
                <c:pt idx="15">
                  <c:v>20332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8-456C-B537-4663568B35C1}"/>
            </c:ext>
          </c:extLst>
        </c:ser>
        <c:ser>
          <c:idx val="1"/>
          <c:order val="1"/>
          <c:tx>
            <c:v>계획</c:v>
          </c:tx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'03'!$J$6:$J$28</c:f>
              <c:numCache>
                <c:formatCode>_(* #,##0_);_(* \(#,##0\);_(* "-"_);_(@_)</c:formatCode>
                <c:ptCount val="23"/>
                <c:pt idx="0">
                  <c:v>1166</c:v>
                </c:pt>
                <c:pt idx="1">
                  <c:v>11600</c:v>
                </c:pt>
                <c:pt idx="2">
                  <c:v>1400</c:v>
                </c:pt>
                <c:pt idx="3">
                  <c:v>1839</c:v>
                </c:pt>
                <c:pt idx="4">
                  <c:v>1019</c:v>
                </c:pt>
                <c:pt idx="5">
                  <c:v>2358</c:v>
                </c:pt>
                <c:pt idx="6">
                  <c:v>2532</c:v>
                </c:pt>
                <c:pt idx="7">
                  <c:v>5268</c:v>
                </c:pt>
                <c:pt idx="8">
                  <c:v>15812</c:v>
                </c:pt>
                <c:pt idx="9">
                  <c:v>1166</c:v>
                </c:pt>
                <c:pt idx="10">
                  <c:v>76</c:v>
                </c:pt>
                <c:pt idx="11">
                  <c:v>317730</c:v>
                </c:pt>
                <c:pt idx="12">
                  <c:v>4211</c:v>
                </c:pt>
                <c:pt idx="13">
                  <c:v>11326</c:v>
                </c:pt>
                <c:pt idx="14">
                  <c:v>6395</c:v>
                </c:pt>
                <c:pt idx="15">
                  <c:v>20332</c:v>
                </c:pt>
                <c:pt idx="16">
                  <c:v>8901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8-456C-B537-4663568B3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29%</c:v>
                </c:pt>
                <c:pt idx="3">
                  <c:v>38%</c:v>
                </c:pt>
                <c:pt idx="4">
                  <c:v>21%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63%</c:v>
                </c:pt>
                <c:pt idx="9">
                  <c:v>42%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0.29166666666666669</c:v>
                </c:pt>
                <c:pt idx="3">
                  <c:v>0.375</c:v>
                </c:pt>
                <c:pt idx="4">
                  <c:v>0.20833333333333334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0.625</c:v>
                </c:pt>
                <c:pt idx="9">
                  <c:v>0.41666666666666669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C-4498-8C1E-8ED8AD9C9CD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6C-4498-8C1E-8ED8AD9C9C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BOTTOM</c:v>
                </c:pt>
                <c:pt idx="4">
                  <c:v>STOPPER</c:v>
                </c:pt>
                <c:pt idx="5">
                  <c:v>LATCH</c:v>
                </c:pt>
                <c:pt idx="6">
                  <c:v>LEAD GUIDER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CASE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'03'!$AE$6:$AE$28</c:f>
              <c:numCache>
                <c:formatCode>0%</c:formatCode>
                <c:ptCount val="23"/>
                <c:pt idx="0">
                  <c:v>0.28804347826086957</c:v>
                </c:pt>
                <c:pt idx="1">
                  <c:v>0.28804347826086957</c:v>
                </c:pt>
                <c:pt idx="2">
                  <c:v>0.28804347826086957</c:v>
                </c:pt>
                <c:pt idx="3">
                  <c:v>0.28804347826086957</c:v>
                </c:pt>
                <c:pt idx="4">
                  <c:v>0.28804347826086957</c:v>
                </c:pt>
                <c:pt idx="5">
                  <c:v>0.28804347826086957</c:v>
                </c:pt>
                <c:pt idx="6">
                  <c:v>0.28804347826086957</c:v>
                </c:pt>
                <c:pt idx="7">
                  <c:v>0.28804347826086957</c:v>
                </c:pt>
                <c:pt idx="8">
                  <c:v>0.28804347826086957</c:v>
                </c:pt>
                <c:pt idx="9">
                  <c:v>0.28804347826086957</c:v>
                </c:pt>
                <c:pt idx="10">
                  <c:v>0.28804347826086957</c:v>
                </c:pt>
                <c:pt idx="11">
                  <c:v>0.28804347826086957</c:v>
                </c:pt>
                <c:pt idx="12">
                  <c:v>0.28804347826086957</c:v>
                </c:pt>
                <c:pt idx="13">
                  <c:v>0.28804347826086957</c:v>
                </c:pt>
                <c:pt idx="14">
                  <c:v>0.28804347826086957</c:v>
                </c:pt>
                <c:pt idx="15">
                  <c:v>0.28804347826086957</c:v>
                </c:pt>
                <c:pt idx="16">
                  <c:v>0.28804347826086957</c:v>
                </c:pt>
                <c:pt idx="17">
                  <c:v>0.28804347826086957</c:v>
                </c:pt>
                <c:pt idx="18">
                  <c:v>0.28804347826086957</c:v>
                </c:pt>
                <c:pt idx="19">
                  <c:v>0.28804347826086957</c:v>
                </c:pt>
                <c:pt idx="20">
                  <c:v>0.28804347826086957</c:v>
                </c:pt>
                <c:pt idx="21">
                  <c:v>0.28804347826086957</c:v>
                </c:pt>
                <c:pt idx="22">
                  <c:v>0.28804347826086957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6C-4498-8C1E-8ED8AD9C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D68-495B-B4A9-359C6B4D62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8-495B-B4A9-359C6B4D6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D68-495B-B4A9-359C6B4D62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68-495B-B4A9-359C6B4D6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'04'!$L$6:$L$27</c:f>
              <c:numCache>
                <c:formatCode>_(* #,##0_);_(* \(#,##0\);_(* "-"_);_(@_)</c:formatCode>
                <c:ptCount val="22"/>
                <c:pt idx="0">
                  <c:v>1300</c:v>
                </c:pt>
                <c:pt idx="1">
                  <c:v>11828</c:v>
                </c:pt>
                <c:pt idx="3">
                  <c:v>673</c:v>
                </c:pt>
                <c:pt idx="6">
                  <c:v>5338</c:v>
                </c:pt>
                <c:pt idx="7">
                  <c:v>27532</c:v>
                </c:pt>
                <c:pt idx="10">
                  <c:v>9666</c:v>
                </c:pt>
                <c:pt idx="13">
                  <c:v>13908</c:v>
                </c:pt>
                <c:pt idx="15">
                  <c:v>45027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5-49BF-9A2C-554C58B981A6}"/>
            </c:ext>
          </c:extLst>
        </c:ser>
        <c:ser>
          <c:idx val="1"/>
          <c:order val="1"/>
          <c:tx>
            <c:v>계획</c:v>
          </c:tx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'04'!$J$6:$J$27</c:f>
              <c:numCache>
                <c:formatCode>_(* #,##0_);_(* \(#,##0\);_(* "-"_);_(@_)</c:formatCode>
                <c:ptCount val="22"/>
                <c:pt idx="0">
                  <c:v>1300</c:v>
                </c:pt>
                <c:pt idx="1">
                  <c:v>11828</c:v>
                </c:pt>
                <c:pt idx="2">
                  <c:v>1400</c:v>
                </c:pt>
                <c:pt idx="3">
                  <c:v>673</c:v>
                </c:pt>
                <c:pt idx="4">
                  <c:v>2358</c:v>
                </c:pt>
                <c:pt idx="5">
                  <c:v>2532</c:v>
                </c:pt>
                <c:pt idx="6">
                  <c:v>5338</c:v>
                </c:pt>
                <c:pt idx="7">
                  <c:v>27532</c:v>
                </c:pt>
                <c:pt idx="8">
                  <c:v>1166</c:v>
                </c:pt>
                <c:pt idx="9">
                  <c:v>76</c:v>
                </c:pt>
                <c:pt idx="10">
                  <c:v>9666</c:v>
                </c:pt>
                <c:pt idx="11">
                  <c:v>4211</c:v>
                </c:pt>
                <c:pt idx="12">
                  <c:v>11326</c:v>
                </c:pt>
                <c:pt idx="13">
                  <c:v>13908</c:v>
                </c:pt>
                <c:pt idx="14">
                  <c:v>20332</c:v>
                </c:pt>
                <c:pt idx="15">
                  <c:v>45027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5-49BF-9A2C-554C58B9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'04'!$AD$6:$AD$27</c:f>
              <c:strCache>
                <c:ptCount val="22"/>
                <c:pt idx="0">
                  <c:v>29%</c:v>
                </c:pt>
                <c:pt idx="1">
                  <c:v>100%</c:v>
                </c:pt>
                <c:pt idx="2">
                  <c:v>0%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0%</c:v>
                </c:pt>
                <c:pt idx="12">
                  <c:v>0%</c:v>
                </c:pt>
                <c:pt idx="13">
                  <c:v>58%</c:v>
                </c:pt>
                <c:pt idx="14">
                  <c:v>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1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0</c:v>
                </c:pt>
                <c:pt idx="12">
                  <c:v>0</c:v>
                </c:pt>
                <c:pt idx="13">
                  <c:v>0.58333333333333337</c:v>
                </c:pt>
                <c:pt idx="14">
                  <c:v>0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6-4B9A-B489-BB483A5AAAD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56-4B9A-B489-BB483A5AAA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'04'!$AE$6:$AE$27</c:f>
              <c:numCache>
                <c:formatCode>0%</c:formatCode>
                <c:ptCount val="22"/>
                <c:pt idx="0">
                  <c:v>0.26325757575757575</c:v>
                </c:pt>
                <c:pt idx="1">
                  <c:v>0.26325757575757575</c:v>
                </c:pt>
                <c:pt idx="2">
                  <c:v>0.26325757575757575</c:v>
                </c:pt>
                <c:pt idx="3">
                  <c:v>0.26325757575757575</c:v>
                </c:pt>
                <c:pt idx="4">
                  <c:v>0.26325757575757575</c:v>
                </c:pt>
                <c:pt idx="5">
                  <c:v>0.26325757575757575</c:v>
                </c:pt>
                <c:pt idx="6">
                  <c:v>0.26325757575757575</c:v>
                </c:pt>
                <c:pt idx="7">
                  <c:v>0.26325757575757575</c:v>
                </c:pt>
                <c:pt idx="8">
                  <c:v>0.26325757575757575</c:v>
                </c:pt>
                <c:pt idx="9">
                  <c:v>0.26325757575757575</c:v>
                </c:pt>
                <c:pt idx="10">
                  <c:v>0.26325757575757575</c:v>
                </c:pt>
                <c:pt idx="11">
                  <c:v>0.26325757575757575</c:v>
                </c:pt>
                <c:pt idx="12">
                  <c:v>0.26325757575757575</c:v>
                </c:pt>
                <c:pt idx="13">
                  <c:v>0.26325757575757575</c:v>
                </c:pt>
                <c:pt idx="14">
                  <c:v>0.26325757575757575</c:v>
                </c:pt>
                <c:pt idx="15">
                  <c:v>0.26325757575757575</c:v>
                </c:pt>
                <c:pt idx="16">
                  <c:v>0.26325757575757575</c:v>
                </c:pt>
                <c:pt idx="17">
                  <c:v>0.26325757575757575</c:v>
                </c:pt>
                <c:pt idx="18">
                  <c:v>0.26325757575757575</c:v>
                </c:pt>
                <c:pt idx="19">
                  <c:v>0.26325757575757575</c:v>
                </c:pt>
                <c:pt idx="20">
                  <c:v>0.26325757575757575</c:v>
                </c:pt>
                <c:pt idx="21">
                  <c:v>0.26325757575757575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56-4B9A-B489-BB483A5A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'04'!$L$6:$L$27</c:f>
              <c:numCache>
                <c:formatCode>_(* #,##0_);_(* \(#,##0\);_(* "-"_);_(@_)</c:formatCode>
                <c:ptCount val="22"/>
                <c:pt idx="0">
                  <c:v>1300</c:v>
                </c:pt>
                <c:pt idx="1">
                  <c:v>11828</c:v>
                </c:pt>
                <c:pt idx="3">
                  <c:v>673</c:v>
                </c:pt>
                <c:pt idx="6">
                  <c:v>5338</c:v>
                </c:pt>
                <c:pt idx="7">
                  <c:v>27532</c:v>
                </c:pt>
                <c:pt idx="10">
                  <c:v>9666</c:v>
                </c:pt>
                <c:pt idx="13">
                  <c:v>13908</c:v>
                </c:pt>
                <c:pt idx="15">
                  <c:v>45027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F-41E8-BB47-C1D930499BC0}"/>
            </c:ext>
          </c:extLst>
        </c:ser>
        <c:ser>
          <c:idx val="1"/>
          <c:order val="1"/>
          <c:tx>
            <c:v>계획</c:v>
          </c:tx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'04'!$J$6:$J$27</c:f>
              <c:numCache>
                <c:formatCode>_(* #,##0_);_(* \(#,##0\);_(* "-"_);_(@_)</c:formatCode>
                <c:ptCount val="22"/>
                <c:pt idx="0">
                  <c:v>1300</c:v>
                </c:pt>
                <c:pt idx="1">
                  <c:v>11828</c:v>
                </c:pt>
                <c:pt idx="2">
                  <c:v>1400</c:v>
                </c:pt>
                <c:pt idx="3">
                  <c:v>673</c:v>
                </c:pt>
                <c:pt idx="4">
                  <c:v>2358</c:v>
                </c:pt>
                <c:pt idx="5">
                  <c:v>2532</c:v>
                </c:pt>
                <c:pt idx="6">
                  <c:v>5338</c:v>
                </c:pt>
                <c:pt idx="7">
                  <c:v>27532</c:v>
                </c:pt>
                <c:pt idx="8">
                  <c:v>1166</c:v>
                </c:pt>
                <c:pt idx="9">
                  <c:v>76</c:v>
                </c:pt>
                <c:pt idx="10">
                  <c:v>9666</c:v>
                </c:pt>
                <c:pt idx="11">
                  <c:v>4211</c:v>
                </c:pt>
                <c:pt idx="12">
                  <c:v>11326</c:v>
                </c:pt>
                <c:pt idx="13">
                  <c:v>13908</c:v>
                </c:pt>
                <c:pt idx="14">
                  <c:v>20332</c:v>
                </c:pt>
                <c:pt idx="15">
                  <c:v>45027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F-41E8-BB47-C1D930499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'04'!$AD$6:$AD$27</c:f>
              <c:strCache>
                <c:ptCount val="22"/>
                <c:pt idx="0">
                  <c:v>29%</c:v>
                </c:pt>
                <c:pt idx="1">
                  <c:v>100%</c:v>
                </c:pt>
                <c:pt idx="2">
                  <c:v>0%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0%</c:v>
                </c:pt>
                <c:pt idx="12">
                  <c:v>0%</c:v>
                </c:pt>
                <c:pt idx="13">
                  <c:v>58%</c:v>
                </c:pt>
                <c:pt idx="14">
                  <c:v>0%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1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0</c:v>
                </c:pt>
                <c:pt idx="12">
                  <c:v>0</c:v>
                </c:pt>
                <c:pt idx="13">
                  <c:v>0.58333333333333337</c:v>
                </c:pt>
                <c:pt idx="14">
                  <c:v>0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A-4109-995F-D84931F1C93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4A-4109-995F-D84931F1C9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'04'!$AE$6:$AE$27</c:f>
              <c:numCache>
                <c:formatCode>0%</c:formatCode>
                <c:ptCount val="22"/>
                <c:pt idx="0">
                  <c:v>0.26325757575757575</c:v>
                </c:pt>
                <c:pt idx="1">
                  <c:v>0.26325757575757575</c:v>
                </c:pt>
                <c:pt idx="2">
                  <c:v>0.26325757575757575</c:v>
                </c:pt>
                <c:pt idx="3">
                  <c:v>0.26325757575757575</c:v>
                </c:pt>
                <c:pt idx="4">
                  <c:v>0.26325757575757575</c:v>
                </c:pt>
                <c:pt idx="5">
                  <c:v>0.26325757575757575</c:v>
                </c:pt>
                <c:pt idx="6">
                  <c:v>0.26325757575757575</c:v>
                </c:pt>
                <c:pt idx="7">
                  <c:v>0.26325757575757575</c:v>
                </c:pt>
                <c:pt idx="8">
                  <c:v>0.26325757575757575</c:v>
                </c:pt>
                <c:pt idx="9">
                  <c:v>0.26325757575757575</c:v>
                </c:pt>
                <c:pt idx="10">
                  <c:v>0.26325757575757575</c:v>
                </c:pt>
                <c:pt idx="11">
                  <c:v>0.26325757575757575</c:v>
                </c:pt>
                <c:pt idx="12">
                  <c:v>0.26325757575757575</c:v>
                </c:pt>
                <c:pt idx="13">
                  <c:v>0.26325757575757575</c:v>
                </c:pt>
                <c:pt idx="14">
                  <c:v>0.26325757575757575</c:v>
                </c:pt>
                <c:pt idx="15">
                  <c:v>0.26325757575757575</c:v>
                </c:pt>
                <c:pt idx="16">
                  <c:v>0.26325757575757575</c:v>
                </c:pt>
                <c:pt idx="17">
                  <c:v>0.26325757575757575</c:v>
                </c:pt>
                <c:pt idx="18">
                  <c:v>0.26325757575757575</c:v>
                </c:pt>
                <c:pt idx="19">
                  <c:v>0.26325757575757575</c:v>
                </c:pt>
                <c:pt idx="20">
                  <c:v>0.26325757575757575</c:v>
                </c:pt>
                <c:pt idx="21">
                  <c:v>0.26325757575757575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4A-4109-995F-D84931F1C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38C-49A9-872C-09B026FA69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8C-49A9-872C-09B026FA6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38C-49A9-872C-09B026FA69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8C-49A9-872C-09B026FA6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'05'!$L$6:$L$28</c:f>
              <c:numCache>
                <c:formatCode>_(* #,##0_);_(* \(#,##0\);_(* "-"_);_(@_)</c:formatCode>
                <c:ptCount val="23"/>
                <c:pt idx="0">
                  <c:v>1250</c:v>
                </c:pt>
                <c:pt idx="2">
                  <c:v>5046</c:v>
                </c:pt>
                <c:pt idx="3">
                  <c:v>1147</c:v>
                </c:pt>
                <c:pt idx="6">
                  <c:v>5267</c:v>
                </c:pt>
                <c:pt idx="7">
                  <c:v>25338</c:v>
                </c:pt>
                <c:pt idx="10">
                  <c:v>4602</c:v>
                </c:pt>
                <c:pt idx="11">
                  <c:v>7530</c:v>
                </c:pt>
                <c:pt idx="14">
                  <c:v>23312</c:v>
                </c:pt>
                <c:pt idx="16">
                  <c:v>47694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B-40A1-9174-2C87693905B9}"/>
            </c:ext>
          </c:extLst>
        </c:ser>
        <c:ser>
          <c:idx val="1"/>
          <c:order val="1"/>
          <c:tx>
            <c:v>계획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'05'!$J$6:$J$28</c:f>
              <c:numCache>
                <c:formatCode>_(* #,##0_);_(* \(#,##0\);_(* "-"_);_(@_)</c:formatCode>
                <c:ptCount val="23"/>
                <c:pt idx="0">
                  <c:v>1250</c:v>
                </c:pt>
                <c:pt idx="1">
                  <c:v>11828</c:v>
                </c:pt>
                <c:pt idx="2">
                  <c:v>5046</c:v>
                </c:pt>
                <c:pt idx="3">
                  <c:v>1147</c:v>
                </c:pt>
                <c:pt idx="4">
                  <c:v>2358</c:v>
                </c:pt>
                <c:pt idx="5">
                  <c:v>2532</c:v>
                </c:pt>
                <c:pt idx="6">
                  <c:v>5267</c:v>
                </c:pt>
                <c:pt idx="7">
                  <c:v>25338</c:v>
                </c:pt>
                <c:pt idx="8">
                  <c:v>1166</c:v>
                </c:pt>
                <c:pt idx="9">
                  <c:v>76</c:v>
                </c:pt>
                <c:pt idx="10">
                  <c:v>9666</c:v>
                </c:pt>
                <c:pt idx="11">
                  <c:v>7530</c:v>
                </c:pt>
                <c:pt idx="12">
                  <c:v>4211</c:v>
                </c:pt>
                <c:pt idx="13">
                  <c:v>11326</c:v>
                </c:pt>
                <c:pt idx="14">
                  <c:v>23312</c:v>
                </c:pt>
                <c:pt idx="15">
                  <c:v>20332</c:v>
                </c:pt>
                <c:pt idx="16">
                  <c:v>47694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B-40A1-9174-2C8769390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'05'!$AD$6:$AD$28</c:f>
              <c:strCache>
                <c:ptCount val="23"/>
                <c:pt idx="0">
                  <c:v>29%</c:v>
                </c:pt>
                <c:pt idx="1">
                  <c:v>0%</c:v>
                </c:pt>
                <c:pt idx="2">
                  <c:v>96%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14%</c:v>
                </c:pt>
                <c:pt idx="11">
                  <c:v>67%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'05'!$AD$6:$AD$28</c:f>
              <c:numCache>
                <c:formatCode>0%</c:formatCode>
                <c:ptCount val="23"/>
                <c:pt idx="0">
                  <c:v>0.29166666666666669</c:v>
                </c:pt>
                <c:pt idx="1">
                  <c:v>0</c:v>
                </c:pt>
                <c:pt idx="2">
                  <c:v>0.95833333333333337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0.1388630250362094</c:v>
                </c:pt>
                <c:pt idx="11">
                  <c:v>0.66666666666666663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8-434F-9B43-638049F019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38-434F-9B43-638049F019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'05'!$AE$6:$AE$28</c:f>
              <c:numCache>
                <c:formatCode>0%</c:formatCode>
                <c:ptCount val="23"/>
                <c:pt idx="0">
                  <c:v>0.2705302764508497</c:v>
                </c:pt>
                <c:pt idx="1">
                  <c:v>0.2705302764508497</c:v>
                </c:pt>
                <c:pt idx="2">
                  <c:v>0.2705302764508497</c:v>
                </c:pt>
                <c:pt idx="3">
                  <c:v>0.2705302764508497</c:v>
                </c:pt>
                <c:pt idx="4">
                  <c:v>0.2705302764508497</c:v>
                </c:pt>
                <c:pt idx="5">
                  <c:v>0.2705302764508497</c:v>
                </c:pt>
                <c:pt idx="6">
                  <c:v>0.2705302764508497</c:v>
                </c:pt>
                <c:pt idx="7">
                  <c:v>0.2705302764508497</c:v>
                </c:pt>
                <c:pt idx="8">
                  <c:v>0.2705302764508497</c:v>
                </c:pt>
                <c:pt idx="9">
                  <c:v>0.2705302764508497</c:v>
                </c:pt>
                <c:pt idx="10">
                  <c:v>0.2705302764508497</c:v>
                </c:pt>
                <c:pt idx="11">
                  <c:v>0.2705302764508497</c:v>
                </c:pt>
                <c:pt idx="12">
                  <c:v>0.2705302764508497</c:v>
                </c:pt>
                <c:pt idx="13">
                  <c:v>0.2705302764508497</c:v>
                </c:pt>
                <c:pt idx="14">
                  <c:v>0.2705302764508497</c:v>
                </c:pt>
                <c:pt idx="15">
                  <c:v>0.2705302764508497</c:v>
                </c:pt>
                <c:pt idx="16">
                  <c:v>0.2705302764508497</c:v>
                </c:pt>
                <c:pt idx="17">
                  <c:v>0.2705302764508497</c:v>
                </c:pt>
                <c:pt idx="18">
                  <c:v>0.2705302764508497</c:v>
                </c:pt>
                <c:pt idx="19">
                  <c:v>0.2705302764508497</c:v>
                </c:pt>
                <c:pt idx="20">
                  <c:v>0.2705302764508497</c:v>
                </c:pt>
                <c:pt idx="21">
                  <c:v>0.2705302764508497</c:v>
                </c:pt>
                <c:pt idx="22">
                  <c:v>0.2705302764508497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8-434F-9B43-638049F01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'05'!$L$6:$L$28</c:f>
              <c:numCache>
                <c:formatCode>_(* #,##0_);_(* \(#,##0\);_(* "-"_);_(@_)</c:formatCode>
                <c:ptCount val="23"/>
                <c:pt idx="0">
                  <c:v>1250</c:v>
                </c:pt>
                <c:pt idx="2">
                  <c:v>5046</c:v>
                </c:pt>
                <c:pt idx="3">
                  <c:v>1147</c:v>
                </c:pt>
                <c:pt idx="6">
                  <c:v>5267</c:v>
                </c:pt>
                <c:pt idx="7">
                  <c:v>25338</c:v>
                </c:pt>
                <c:pt idx="10">
                  <c:v>4602</c:v>
                </c:pt>
                <c:pt idx="11">
                  <c:v>7530</c:v>
                </c:pt>
                <c:pt idx="14">
                  <c:v>23312</c:v>
                </c:pt>
                <c:pt idx="16">
                  <c:v>47694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0-4F9A-85C1-AB85345A52AC}"/>
            </c:ext>
          </c:extLst>
        </c:ser>
        <c:ser>
          <c:idx val="1"/>
          <c:order val="1"/>
          <c:tx>
            <c:v>계획</c:v>
          </c:tx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'05'!$J$6:$J$28</c:f>
              <c:numCache>
                <c:formatCode>_(* #,##0_);_(* \(#,##0\);_(* "-"_);_(@_)</c:formatCode>
                <c:ptCount val="23"/>
                <c:pt idx="0">
                  <c:v>1250</c:v>
                </c:pt>
                <c:pt idx="1">
                  <c:v>11828</c:v>
                </c:pt>
                <c:pt idx="2">
                  <c:v>5046</c:v>
                </c:pt>
                <c:pt idx="3">
                  <c:v>1147</c:v>
                </c:pt>
                <c:pt idx="4">
                  <c:v>2358</c:v>
                </c:pt>
                <c:pt idx="5">
                  <c:v>2532</c:v>
                </c:pt>
                <c:pt idx="6">
                  <c:v>5267</c:v>
                </c:pt>
                <c:pt idx="7">
                  <c:v>25338</c:v>
                </c:pt>
                <c:pt idx="8">
                  <c:v>1166</c:v>
                </c:pt>
                <c:pt idx="9">
                  <c:v>76</c:v>
                </c:pt>
                <c:pt idx="10">
                  <c:v>9666</c:v>
                </c:pt>
                <c:pt idx="11">
                  <c:v>7530</c:v>
                </c:pt>
                <c:pt idx="12">
                  <c:v>4211</c:v>
                </c:pt>
                <c:pt idx="13">
                  <c:v>11326</c:v>
                </c:pt>
                <c:pt idx="14">
                  <c:v>23312</c:v>
                </c:pt>
                <c:pt idx="15">
                  <c:v>20332</c:v>
                </c:pt>
                <c:pt idx="16">
                  <c:v>47694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F0-4F9A-85C1-AB85345A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'05'!$AD$6:$AD$28</c:f>
              <c:strCache>
                <c:ptCount val="23"/>
                <c:pt idx="0">
                  <c:v>29%</c:v>
                </c:pt>
                <c:pt idx="1">
                  <c:v>0%</c:v>
                </c:pt>
                <c:pt idx="2">
                  <c:v>96%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14%</c:v>
                </c:pt>
                <c:pt idx="11">
                  <c:v>67%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'05'!$AD$6:$AD$28</c:f>
              <c:numCache>
                <c:formatCode>0%</c:formatCode>
                <c:ptCount val="23"/>
                <c:pt idx="0">
                  <c:v>0.29166666666666669</c:v>
                </c:pt>
                <c:pt idx="1">
                  <c:v>0</c:v>
                </c:pt>
                <c:pt idx="2">
                  <c:v>0.95833333333333337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0.1388630250362094</c:v>
                </c:pt>
                <c:pt idx="11">
                  <c:v>0.66666666666666663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B-4F39-9356-1B69C0131C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3B-4F39-9356-1B69C0131C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COVER</c:v>
                </c:pt>
                <c:pt idx="12">
                  <c:v>PLATE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'05'!$AE$6:$AE$28</c:f>
              <c:numCache>
                <c:formatCode>0%</c:formatCode>
                <c:ptCount val="23"/>
                <c:pt idx="0">
                  <c:v>0.2705302764508497</c:v>
                </c:pt>
                <c:pt idx="1">
                  <c:v>0.2705302764508497</c:v>
                </c:pt>
                <c:pt idx="2">
                  <c:v>0.2705302764508497</c:v>
                </c:pt>
                <c:pt idx="3">
                  <c:v>0.2705302764508497</c:v>
                </c:pt>
                <c:pt idx="4">
                  <c:v>0.2705302764508497</c:v>
                </c:pt>
                <c:pt idx="5">
                  <c:v>0.2705302764508497</c:v>
                </c:pt>
                <c:pt idx="6">
                  <c:v>0.2705302764508497</c:v>
                </c:pt>
                <c:pt idx="7">
                  <c:v>0.2705302764508497</c:v>
                </c:pt>
                <c:pt idx="8">
                  <c:v>0.2705302764508497</c:v>
                </c:pt>
                <c:pt idx="9">
                  <c:v>0.2705302764508497</c:v>
                </c:pt>
                <c:pt idx="10">
                  <c:v>0.2705302764508497</c:v>
                </c:pt>
                <c:pt idx="11">
                  <c:v>0.2705302764508497</c:v>
                </c:pt>
                <c:pt idx="12">
                  <c:v>0.2705302764508497</c:v>
                </c:pt>
                <c:pt idx="13">
                  <c:v>0.2705302764508497</c:v>
                </c:pt>
                <c:pt idx="14">
                  <c:v>0.2705302764508497</c:v>
                </c:pt>
                <c:pt idx="15">
                  <c:v>0.2705302764508497</c:v>
                </c:pt>
                <c:pt idx="16">
                  <c:v>0.2705302764508497</c:v>
                </c:pt>
                <c:pt idx="17">
                  <c:v>0.2705302764508497</c:v>
                </c:pt>
                <c:pt idx="18">
                  <c:v>0.2705302764508497</c:v>
                </c:pt>
                <c:pt idx="19">
                  <c:v>0.2705302764508497</c:v>
                </c:pt>
                <c:pt idx="20">
                  <c:v>0.2705302764508497</c:v>
                </c:pt>
                <c:pt idx="21">
                  <c:v>0.2705302764508497</c:v>
                </c:pt>
                <c:pt idx="22">
                  <c:v>0.2705302764508497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B-4F39-9356-1B69C0131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62D-4E37-8379-D56DAF069A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D-4E37-8379-D56DAF06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62D-4E37-8379-D56DAF069A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D-4E37-8379-D56DAF06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'06'!$L$6:$L$27</c:f>
              <c:numCache>
                <c:formatCode>_(* #,##0_);_(* \(#,##0\);_(* "-"_);_(@_)</c:formatCode>
                <c:ptCount val="22"/>
                <c:pt idx="0">
                  <c:v>2579</c:v>
                </c:pt>
                <c:pt idx="1">
                  <c:v>10610</c:v>
                </c:pt>
                <c:pt idx="2">
                  <c:v>5664</c:v>
                </c:pt>
                <c:pt idx="3">
                  <c:v>3717</c:v>
                </c:pt>
                <c:pt idx="4">
                  <c:v>1911</c:v>
                </c:pt>
                <c:pt idx="5">
                  <c:v>3322</c:v>
                </c:pt>
                <c:pt idx="6">
                  <c:v>5184</c:v>
                </c:pt>
                <c:pt idx="7">
                  <c:v>16995</c:v>
                </c:pt>
                <c:pt idx="10">
                  <c:v>9504</c:v>
                </c:pt>
                <c:pt idx="13">
                  <c:v>22632</c:v>
                </c:pt>
                <c:pt idx="15">
                  <c:v>40014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C-4921-9994-B736D9E4043E}"/>
            </c:ext>
          </c:extLst>
        </c:ser>
        <c:ser>
          <c:idx val="1"/>
          <c:order val="1"/>
          <c:tx>
            <c:v>계획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'06'!$J$6:$J$27</c:f>
              <c:numCache>
                <c:formatCode>_(* #,##0_);_(* \(#,##0\);_(* "-"_);_(@_)</c:formatCode>
                <c:ptCount val="22"/>
                <c:pt idx="0">
                  <c:v>2579</c:v>
                </c:pt>
                <c:pt idx="1">
                  <c:v>10610</c:v>
                </c:pt>
                <c:pt idx="2">
                  <c:v>5664</c:v>
                </c:pt>
                <c:pt idx="3">
                  <c:v>3717</c:v>
                </c:pt>
                <c:pt idx="4">
                  <c:v>1911</c:v>
                </c:pt>
                <c:pt idx="5">
                  <c:v>3322</c:v>
                </c:pt>
                <c:pt idx="6">
                  <c:v>5184</c:v>
                </c:pt>
                <c:pt idx="7">
                  <c:v>16995</c:v>
                </c:pt>
                <c:pt idx="8">
                  <c:v>1166</c:v>
                </c:pt>
                <c:pt idx="9">
                  <c:v>76</c:v>
                </c:pt>
                <c:pt idx="10">
                  <c:v>9504</c:v>
                </c:pt>
                <c:pt idx="11">
                  <c:v>4211</c:v>
                </c:pt>
                <c:pt idx="12">
                  <c:v>11326</c:v>
                </c:pt>
                <c:pt idx="13">
                  <c:v>22632</c:v>
                </c:pt>
                <c:pt idx="14">
                  <c:v>20332</c:v>
                </c:pt>
                <c:pt idx="15">
                  <c:v>40014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C-4921-9994-B736D9E40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'06'!$AD$6:$AD$27</c:f>
              <c:strCache>
                <c:ptCount val="22"/>
                <c:pt idx="0">
                  <c:v>67%</c:v>
                </c:pt>
                <c:pt idx="1">
                  <c:v>96%</c:v>
                </c:pt>
                <c:pt idx="2">
                  <c:v>100%</c:v>
                </c:pt>
                <c:pt idx="3">
                  <c:v>79%</c:v>
                </c:pt>
                <c:pt idx="4">
                  <c:v>42%</c:v>
                </c:pt>
                <c:pt idx="5">
                  <c:v>71%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88%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'06'!$AD$6:$AD$27</c:f>
              <c:numCache>
                <c:formatCode>0%</c:formatCode>
                <c:ptCount val="22"/>
                <c:pt idx="0">
                  <c:v>0.66666666666666663</c:v>
                </c:pt>
                <c:pt idx="1">
                  <c:v>0.95833333333333337</c:v>
                </c:pt>
                <c:pt idx="2">
                  <c:v>1</c:v>
                </c:pt>
                <c:pt idx="3">
                  <c:v>0.79166666666666663</c:v>
                </c:pt>
                <c:pt idx="4">
                  <c:v>0.41666666666666669</c:v>
                </c:pt>
                <c:pt idx="5">
                  <c:v>0.70833333333333337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0.875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C-4DFA-80E7-8E755CACEE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AC-4DFA-80E7-8E755CACEE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'06'!$AE$6:$AE$27</c:f>
              <c:numCache>
                <c:formatCode>0%</c:formatCode>
                <c:ptCount val="22"/>
                <c:pt idx="0">
                  <c:v>0.42613636363636365</c:v>
                </c:pt>
                <c:pt idx="1">
                  <c:v>0.42613636363636365</c:v>
                </c:pt>
                <c:pt idx="2">
                  <c:v>0.42613636363636365</c:v>
                </c:pt>
                <c:pt idx="3">
                  <c:v>0.42613636363636365</c:v>
                </c:pt>
                <c:pt idx="4">
                  <c:v>0.42613636363636365</c:v>
                </c:pt>
                <c:pt idx="5">
                  <c:v>0.42613636363636365</c:v>
                </c:pt>
                <c:pt idx="6">
                  <c:v>0.42613636363636365</c:v>
                </c:pt>
                <c:pt idx="7">
                  <c:v>0.42613636363636365</c:v>
                </c:pt>
                <c:pt idx="8">
                  <c:v>0.42613636363636365</c:v>
                </c:pt>
                <c:pt idx="9">
                  <c:v>0.42613636363636365</c:v>
                </c:pt>
                <c:pt idx="10">
                  <c:v>0.42613636363636365</c:v>
                </c:pt>
                <c:pt idx="11">
                  <c:v>0.42613636363636365</c:v>
                </c:pt>
                <c:pt idx="12">
                  <c:v>0.42613636363636365</c:v>
                </c:pt>
                <c:pt idx="13">
                  <c:v>0.42613636363636365</c:v>
                </c:pt>
                <c:pt idx="14">
                  <c:v>0.42613636363636365</c:v>
                </c:pt>
                <c:pt idx="15">
                  <c:v>0.42613636363636365</c:v>
                </c:pt>
                <c:pt idx="16">
                  <c:v>0.42613636363636365</c:v>
                </c:pt>
                <c:pt idx="17">
                  <c:v>0.42613636363636365</c:v>
                </c:pt>
                <c:pt idx="18">
                  <c:v>0.42613636363636365</c:v>
                </c:pt>
                <c:pt idx="19">
                  <c:v>0.42613636363636365</c:v>
                </c:pt>
                <c:pt idx="20">
                  <c:v>0.42613636363636365</c:v>
                </c:pt>
                <c:pt idx="21">
                  <c:v>0.42613636363636365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AC-4DFA-80E7-8E755CACE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'06'!$L$6:$L$27</c:f>
              <c:numCache>
                <c:formatCode>_(* #,##0_);_(* \(#,##0\);_(* "-"_);_(@_)</c:formatCode>
                <c:ptCount val="22"/>
                <c:pt idx="0">
                  <c:v>2579</c:v>
                </c:pt>
                <c:pt idx="1">
                  <c:v>10610</c:v>
                </c:pt>
                <c:pt idx="2">
                  <c:v>5664</c:v>
                </c:pt>
                <c:pt idx="3">
                  <c:v>3717</c:v>
                </c:pt>
                <c:pt idx="4">
                  <c:v>1911</c:v>
                </c:pt>
                <c:pt idx="5">
                  <c:v>3322</c:v>
                </c:pt>
                <c:pt idx="6">
                  <c:v>5184</c:v>
                </c:pt>
                <c:pt idx="7">
                  <c:v>16995</c:v>
                </c:pt>
                <c:pt idx="10">
                  <c:v>9504</c:v>
                </c:pt>
                <c:pt idx="13">
                  <c:v>22632</c:v>
                </c:pt>
                <c:pt idx="15">
                  <c:v>40014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F-4AC2-8CE2-5E57BC26D4F0}"/>
            </c:ext>
          </c:extLst>
        </c:ser>
        <c:ser>
          <c:idx val="1"/>
          <c:order val="1"/>
          <c:tx>
            <c:v>계획</c:v>
          </c:tx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'06'!$J$6:$J$27</c:f>
              <c:numCache>
                <c:formatCode>_(* #,##0_);_(* \(#,##0\);_(* "-"_);_(@_)</c:formatCode>
                <c:ptCount val="22"/>
                <c:pt idx="0">
                  <c:v>2579</c:v>
                </c:pt>
                <c:pt idx="1">
                  <c:v>10610</c:v>
                </c:pt>
                <c:pt idx="2">
                  <c:v>5664</c:v>
                </c:pt>
                <c:pt idx="3">
                  <c:v>3717</c:v>
                </c:pt>
                <c:pt idx="4">
                  <c:v>1911</c:v>
                </c:pt>
                <c:pt idx="5">
                  <c:v>3322</c:v>
                </c:pt>
                <c:pt idx="6">
                  <c:v>5184</c:v>
                </c:pt>
                <c:pt idx="7">
                  <c:v>16995</c:v>
                </c:pt>
                <c:pt idx="8">
                  <c:v>1166</c:v>
                </c:pt>
                <c:pt idx="9">
                  <c:v>76</c:v>
                </c:pt>
                <c:pt idx="10">
                  <c:v>9504</c:v>
                </c:pt>
                <c:pt idx="11">
                  <c:v>4211</c:v>
                </c:pt>
                <c:pt idx="12">
                  <c:v>11326</c:v>
                </c:pt>
                <c:pt idx="13">
                  <c:v>22632</c:v>
                </c:pt>
                <c:pt idx="14">
                  <c:v>20332</c:v>
                </c:pt>
                <c:pt idx="15">
                  <c:v>40014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F-4AC2-8CE2-5E57BC26D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'06'!$AD$6:$AD$27</c:f>
              <c:strCache>
                <c:ptCount val="22"/>
                <c:pt idx="0">
                  <c:v>67%</c:v>
                </c:pt>
                <c:pt idx="1">
                  <c:v>96%</c:v>
                </c:pt>
                <c:pt idx="2">
                  <c:v>100%</c:v>
                </c:pt>
                <c:pt idx="3">
                  <c:v>79%</c:v>
                </c:pt>
                <c:pt idx="4">
                  <c:v>42%</c:v>
                </c:pt>
                <c:pt idx="5">
                  <c:v>71%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88%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'06'!$AD$6:$AD$27</c:f>
              <c:numCache>
                <c:formatCode>0%</c:formatCode>
                <c:ptCount val="22"/>
                <c:pt idx="0">
                  <c:v>0.66666666666666663</c:v>
                </c:pt>
                <c:pt idx="1">
                  <c:v>0.95833333333333337</c:v>
                </c:pt>
                <c:pt idx="2">
                  <c:v>1</c:v>
                </c:pt>
                <c:pt idx="3">
                  <c:v>0.79166666666666663</c:v>
                </c:pt>
                <c:pt idx="4">
                  <c:v>0.41666666666666669</c:v>
                </c:pt>
                <c:pt idx="5">
                  <c:v>0.70833333333333337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0.875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B-4705-8304-2C924D54DE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5B-4705-8304-2C924D54DE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2"/>
                <c:pt idx="0">
                  <c:v>ADAPTER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LEAD GUIDER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'06'!$AE$6:$AE$27</c:f>
              <c:numCache>
                <c:formatCode>0%</c:formatCode>
                <c:ptCount val="22"/>
                <c:pt idx="0">
                  <c:v>0.42613636363636365</c:v>
                </c:pt>
                <c:pt idx="1">
                  <c:v>0.42613636363636365</c:v>
                </c:pt>
                <c:pt idx="2">
                  <c:v>0.42613636363636365</c:v>
                </c:pt>
                <c:pt idx="3">
                  <c:v>0.42613636363636365</c:v>
                </c:pt>
                <c:pt idx="4">
                  <c:v>0.42613636363636365</c:v>
                </c:pt>
                <c:pt idx="5">
                  <c:v>0.42613636363636365</c:v>
                </c:pt>
                <c:pt idx="6">
                  <c:v>0.42613636363636365</c:v>
                </c:pt>
                <c:pt idx="7">
                  <c:v>0.42613636363636365</c:v>
                </c:pt>
                <c:pt idx="8">
                  <c:v>0.42613636363636365</c:v>
                </c:pt>
                <c:pt idx="9">
                  <c:v>0.42613636363636365</c:v>
                </c:pt>
                <c:pt idx="10">
                  <c:v>0.42613636363636365</c:v>
                </c:pt>
                <c:pt idx="11">
                  <c:v>0.42613636363636365</c:v>
                </c:pt>
                <c:pt idx="12">
                  <c:v>0.42613636363636365</c:v>
                </c:pt>
                <c:pt idx="13">
                  <c:v>0.42613636363636365</c:v>
                </c:pt>
                <c:pt idx="14">
                  <c:v>0.42613636363636365</c:v>
                </c:pt>
                <c:pt idx="15">
                  <c:v>0.42613636363636365</c:v>
                </c:pt>
                <c:pt idx="16">
                  <c:v>0.42613636363636365</c:v>
                </c:pt>
                <c:pt idx="17">
                  <c:v>0.42613636363636365</c:v>
                </c:pt>
                <c:pt idx="18">
                  <c:v>0.42613636363636365</c:v>
                </c:pt>
                <c:pt idx="19">
                  <c:v>0.42613636363636365</c:v>
                </c:pt>
                <c:pt idx="20">
                  <c:v>0.42613636363636365</c:v>
                </c:pt>
                <c:pt idx="21">
                  <c:v>0.42613636363636365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5B-4705-8304-2C924D54D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382-4CC7-817E-382F217042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2-4CC7-817E-382F21704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382-4CC7-817E-382F217042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2-4CC7-817E-382F21704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'09'!$L$6:$L$27</c:f>
              <c:numCache>
                <c:formatCode>_(* #,##0_);_(* \(#,##0\);_(* "-"_);_(@_)</c:formatCode>
                <c:ptCount val="22"/>
                <c:pt idx="0">
                  <c:v>1301</c:v>
                </c:pt>
                <c:pt idx="1">
                  <c:v>11718</c:v>
                </c:pt>
                <c:pt idx="2">
                  <c:v>5558</c:v>
                </c:pt>
                <c:pt idx="3">
                  <c:v>4333</c:v>
                </c:pt>
                <c:pt idx="4">
                  <c:v>3094</c:v>
                </c:pt>
                <c:pt idx="5">
                  <c:v>3576</c:v>
                </c:pt>
                <c:pt idx="6">
                  <c:v>5110</c:v>
                </c:pt>
                <c:pt idx="7">
                  <c:v>13672</c:v>
                </c:pt>
                <c:pt idx="10">
                  <c:v>2748</c:v>
                </c:pt>
                <c:pt idx="13">
                  <c:v>21852</c:v>
                </c:pt>
                <c:pt idx="15">
                  <c:v>19857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8-4AD0-8173-6A6A4F16A868}"/>
            </c:ext>
          </c:extLst>
        </c:ser>
        <c:ser>
          <c:idx val="1"/>
          <c:order val="1"/>
          <c:tx>
            <c:v>계획</c:v>
          </c:tx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'09'!$J$6:$J$27</c:f>
              <c:numCache>
                <c:formatCode>_(* #,##0_);_(* \(#,##0\);_(* "-"_);_(@_)</c:formatCode>
                <c:ptCount val="22"/>
                <c:pt idx="0">
                  <c:v>1301</c:v>
                </c:pt>
                <c:pt idx="1">
                  <c:v>11718</c:v>
                </c:pt>
                <c:pt idx="2">
                  <c:v>5558</c:v>
                </c:pt>
                <c:pt idx="3">
                  <c:v>4333</c:v>
                </c:pt>
                <c:pt idx="4">
                  <c:v>3094</c:v>
                </c:pt>
                <c:pt idx="5">
                  <c:v>3576</c:v>
                </c:pt>
                <c:pt idx="6">
                  <c:v>5110</c:v>
                </c:pt>
                <c:pt idx="7">
                  <c:v>13672</c:v>
                </c:pt>
                <c:pt idx="8">
                  <c:v>1166</c:v>
                </c:pt>
                <c:pt idx="9">
                  <c:v>76</c:v>
                </c:pt>
                <c:pt idx="10">
                  <c:v>2748</c:v>
                </c:pt>
                <c:pt idx="11">
                  <c:v>4211</c:v>
                </c:pt>
                <c:pt idx="12">
                  <c:v>11326</c:v>
                </c:pt>
                <c:pt idx="13">
                  <c:v>21852</c:v>
                </c:pt>
                <c:pt idx="14">
                  <c:v>20332</c:v>
                </c:pt>
                <c:pt idx="15">
                  <c:v>19857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8-4AD0-8173-6A6A4F16A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'09'!$AD$6:$AD$27</c:f>
              <c:strCache>
                <c:ptCount val="22"/>
                <c:pt idx="0">
                  <c:v>29%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58%</c:v>
                </c:pt>
                <c:pt idx="5">
                  <c:v>38%</c:v>
                </c:pt>
                <c:pt idx="6">
                  <c:v>100%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50%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0.58333333333333337</c:v>
                </c:pt>
                <c:pt idx="5">
                  <c:v>0.375</c:v>
                </c:pt>
                <c:pt idx="6">
                  <c:v>1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3-4D2F-BD6A-5D0BE796CC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F3-4D2F-BD6A-5D0BE796CC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'09'!$AE$6:$AE$27</c:f>
              <c:numCache>
                <c:formatCode>0%</c:formatCode>
                <c:ptCount val="22"/>
                <c:pt idx="0">
                  <c:v>0.34848484848484851</c:v>
                </c:pt>
                <c:pt idx="1">
                  <c:v>0.34848484848484851</c:v>
                </c:pt>
                <c:pt idx="2">
                  <c:v>0.34848484848484851</c:v>
                </c:pt>
                <c:pt idx="3">
                  <c:v>0.34848484848484851</c:v>
                </c:pt>
                <c:pt idx="4">
                  <c:v>0.34848484848484851</c:v>
                </c:pt>
                <c:pt idx="5">
                  <c:v>0.34848484848484851</c:v>
                </c:pt>
                <c:pt idx="6">
                  <c:v>0.34848484848484851</c:v>
                </c:pt>
                <c:pt idx="7">
                  <c:v>0.34848484848484851</c:v>
                </c:pt>
                <c:pt idx="8">
                  <c:v>0.34848484848484851</c:v>
                </c:pt>
                <c:pt idx="9">
                  <c:v>0.34848484848484851</c:v>
                </c:pt>
                <c:pt idx="10">
                  <c:v>0.34848484848484851</c:v>
                </c:pt>
                <c:pt idx="11">
                  <c:v>0.34848484848484851</c:v>
                </c:pt>
                <c:pt idx="12">
                  <c:v>0.34848484848484851</c:v>
                </c:pt>
                <c:pt idx="13">
                  <c:v>0.34848484848484851</c:v>
                </c:pt>
                <c:pt idx="14">
                  <c:v>0.34848484848484851</c:v>
                </c:pt>
                <c:pt idx="15">
                  <c:v>0.34848484848484851</c:v>
                </c:pt>
                <c:pt idx="16">
                  <c:v>0.34848484848484851</c:v>
                </c:pt>
                <c:pt idx="17">
                  <c:v>0.34848484848484851</c:v>
                </c:pt>
                <c:pt idx="18">
                  <c:v>0.34848484848484851</c:v>
                </c:pt>
                <c:pt idx="19">
                  <c:v>0.34848484848484851</c:v>
                </c:pt>
                <c:pt idx="20">
                  <c:v>0.34848484848484851</c:v>
                </c:pt>
                <c:pt idx="21">
                  <c:v>0.34848484848484851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F3-4D2F-BD6A-5D0BE796C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'09'!$L$6:$L$27</c:f>
              <c:numCache>
                <c:formatCode>_(* #,##0_);_(* \(#,##0\);_(* "-"_);_(@_)</c:formatCode>
                <c:ptCount val="22"/>
                <c:pt idx="0">
                  <c:v>1301</c:v>
                </c:pt>
                <c:pt idx="1">
                  <c:v>11718</c:v>
                </c:pt>
                <c:pt idx="2">
                  <c:v>5558</c:v>
                </c:pt>
                <c:pt idx="3">
                  <c:v>4333</c:v>
                </c:pt>
                <c:pt idx="4">
                  <c:v>3094</c:v>
                </c:pt>
                <c:pt idx="5">
                  <c:v>3576</c:v>
                </c:pt>
                <c:pt idx="6">
                  <c:v>5110</c:v>
                </c:pt>
                <c:pt idx="7">
                  <c:v>13672</c:v>
                </c:pt>
                <c:pt idx="10">
                  <c:v>2748</c:v>
                </c:pt>
                <c:pt idx="13">
                  <c:v>21852</c:v>
                </c:pt>
                <c:pt idx="15">
                  <c:v>19857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3-4176-8750-8BF182AD4B56}"/>
            </c:ext>
          </c:extLst>
        </c:ser>
        <c:ser>
          <c:idx val="1"/>
          <c:order val="1"/>
          <c:tx>
            <c:v>계획</c:v>
          </c:tx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'09'!$J$6:$J$27</c:f>
              <c:numCache>
                <c:formatCode>_(* #,##0_);_(* \(#,##0\);_(* "-"_);_(@_)</c:formatCode>
                <c:ptCount val="22"/>
                <c:pt idx="0">
                  <c:v>1301</c:v>
                </c:pt>
                <c:pt idx="1">
                  <c:v>11718</c:v>
                </c:pt>
                <c:pt idx="2">
                  <c:v>5558</c:v>
                </c:pt>
                <c:pt idx="3">
                  <c:v>4333</c:v>
                </c:pt>
                <c:pt idx="4">
                  <c:v>3094</c:v>
                </c:pt>
                <c:pt idx="5">
                  <c:v>3576</c:v>
                </c:pt>
                <c:pt idx="6">
                  <c:v>5110</c:v>
                </c:pt>
                <c:pt idx="7">
                  <c:v>13672</c:v>
                </c:pt>
                <c:pt idx="8">
                  <c:v>1166</c:v>
                </c:pt>
                <c:pt idx="9">
                  <c:v>76</c:v>
                </c:pt>
                <c:pt idx="10">
                  <c:v>2748</c:v>
                </c:pt>
                <c:pt idx="11">
                  <c:v>4211</c:v>
                </c:pt>
                <c:pt idx="12">
                  <c:v>11326</c:v>
                </c:pt>
                <c:pt idx="13">
                  <c:v>21852</c:v>
                </c:pt>
                <c:pt idx="14">
                  <c:v>20332</c:v>
                </c:pt>
                <c:pt idx="15">
                  <c:v>19857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3-4176-8750-8BF182AD4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'09'!$AD$6:$AD$27</c:f>
              <c:strCache>
                <c:ptCount val="22"/>
                <c:pt idx="0">
                  <c:v>29%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58%</c:v>
                </c:pt>
                <c:pt idx="5">
                  <c:v>38%</c:v>
                </c:pt>
                <c:pt idx="6">
                  <c:v>100%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50%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0.58333333333333337</c:v>
                </c:pt>
                <c:pt idx="5">
                  <c:v>0.375</c:v>
                </c:pt>
                <c:pt idx="6">
                  <c:v>1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F-4AF7-A44F-00CE94A4929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1F-4AF7-A44F-00CE94A492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2"/>
                <c:pt idx="0">
                  <c:v>F/A</c:v>
                </c:pt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'09'!$AE$6:$AE$27</c:f>
              <c:numCache>
                <c:formatCode>0%</c:formatCode>
                <c:ptCount val="22"/>
                <c:pt idx="0">
                  <c:v>0.34848484848484851</c:v>
                </c:pt>
                <c:pt idx="1">
                  <c:v>0.34848484848484851</c:v>
                </c:pt>
                <c:pt idx="2">
                  <c:v>0.34848484848484851</c:v>
                </c:pt>
                <c:pt idx="3">
                  <c:v>0.34848484848484851</c:v>
                </c:pt>
                <c:pt idx="4">
                  <c:v>0.34848484848484851</c:v>
                </c:pt>
                <c:pt idx="5">
                  <c:v>0.34848484848484851</c:v>
                </c:pt>
                <c:pt idx="6">
                  <c:v>0.34848484848484851</c:v>
                </c:pt>
                <c:pt idx="7">
                  <c:v>0.34848484848484851</c:v>
                </c:pt>
                <c:pt idx="8">
                  <c:v>0.34848484848484851</c:v>
                </c:pt>
                <c:pt idx="9">
                  <c:v>0.34848484848484851</c:v>
                </c:pt>
                <c:pt idx="10">
                  <c:v>0.34848484848484851</c:v>
                </c:pt>
                <c:pt idx="11">
                  <c:v>0.34848484848484851</c:v>
                </c:pt>
                <c:pt idx="12">
                  <c:v>0.34848484848484851</c:v>
                </c:pt>
                <c:pt idx="13">
                  <c:v>0.34848484848484851</c:v>
                </c:pt>
                <c:pt idx="14">
                  <c:v>0.34848484848484851</c:v>
                </c:pt>
                <c:pt idx="15">
                  <c:v>0.34848484848484851</c:v>
                </c:pt>
                <c:pt idx="16">
                  <c:v>0.34848484848484851</c:v>
                </c:pt>
                <c:pt idx="17">
                  <c:v>0.34848484848484851</c:v>
                </c:pt>
                <c:pt idx="18">
                  <c:v>0.34848484848484851</c:v>
                </c:pt>
                <c:pt idx="19">
                  <c:v>0.34848484848484851</c:v>
                </c:pt>
                <c:pt idx="20">
                  <c:v>0.34848484848484851</c:v>
                </c:pt>
                <c:pt idx="21">
                  <c:v>0.34848484848484851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1F-4AF7-A44F-00CE94A49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CD0-4104-A4E7-933974A189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D0-4104-A4E7-933974A1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D0-4104-A4E7-933974A189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D0-4104-A4E7-933974A1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'10'!$L$6:$L$27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12418</c:v>
                </c:pt>
                <c:pt idx="2">
                  <c:v>1990</c:v>
                </c:pt>
                <c:pt idx="3">
                  <c:v>5116</c:v>
                </c:pt>
                <c:pt idx="4">
                  <c:v>5773</c:v>
                </c:pt>
                <c:pt idx="6">
                  <c:v>5267</c:v>
                </c:pt>
                <c:pt idx="7">
                  <c:v>26388</c:v>
                </c:pt>
                <c:pt idx="9">
                  <c:v>0</c:v>
                </c:pt>
                <c:pt idx="10">
                  <c:v>0</c:v>
                </c:pt>
                <c:pt idx="13">
                  <c:v>23044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B-417B-952B-199E7FF6010E}"/>
            </c:ext>
          </c:extLst>
        </c:ser>
        <c:ser>
          <c:idx val="1"/>
          <c:order val="1"/>
          <c:tx>
            <c:v>계획</c:v>
          </c:tx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12418</c:v>
                </c:pt>
                <c:pt idx="2">
                  <c:v>1990</c:v>
                </c:pt>
                <c:pt idx="3">
                  <c:v>5116</c:v>
                </c:pt>
                <c:pt idx="4">
                  <c:v>5773</c:v>
                </c:pt>
                <c:pt idx="5">
                  <c:v>3576</c:v>
                </c:pt>
                <c:pt idx="6">
                  <c:v>5267</c:v>
                </c:pt>
                <c:pt idx="7">
                  <c:v>26388</c:v>
                </c:pt>
                <c:pt idx="8">
                  <c:v>1166</c:v>
                </c:pt>
                <c:pt idx="9">
                  <c:v>76</c:v>
                </c:pt>
                <c:pt idx="10">
                  <c:v>2748</c:v>
                </c:pt>
                <c:pt idx="11">
                  <c:v>4211</c:v>
                </c:pt>
                <c:pt idx="12">
                  <c:v>11326</c:v>
                </c:pt>
                <c:pt idx="13">
                  <c:v>23044</c:v>
                </c:pt>
                <c:pt idx="14">
                  <c:v>20332</c:v>
                </c:pt>
                <c:pt idx="15">
                  <c:v>19857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B-417B-952B-199E7FF60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'10'!$AD$6:$AD$27</c:f>
              <c:strCache>
                <c:ptCount val="22"/>
                <c:pt idx="0">
                  <c:v>63%</c:v>
                </c:pt>
                <c:pt idx="1">
                  <c:v>100%</c:v>
                </c:pt>
                <c:pt idx="2">
                  <c:v>21%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'10'!$AD$6:$AD$27</c:f>
              <c:numCache>
                <c:formatCode>0%</c:formatCode>
                <c:ptCount val="22"/>
                <c:pt idx="0">
                  <c:v>0.625</c:v>
                </c:pt>
                <c:pt idx="1">
                  <c:v>1</c:v>
                </c:pt>
                <c:pt idx="2">
                  <c:v>0.20833333333333334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F-4352-BA5F-CE5BFC596C4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1F-4352-BA5F-CE5BFC596C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'10'!$AE$6:$AE$27</c:f>
              <c:numCache>
                <c:formatCode>0%</c:formatCode>
                <c:ptCount val="22"/>
                <c:pt idx="0">
                  <c:v>0.31060606060606061</c:v>
                </c:pt>
                <c:pt idx="1">
                  <c:v>0.31060606060606061</c:v>
                </c:pt>
                <c:pt idx="2">
                  <c:v>0.31060606060606061</c:v>
                </c:pt>
                <c:pt idx="3">
                  <c:v>0.31060606060606061</c:v>
                </c:pt>
                <c:pt idx="4">
                  <c:v>0.31060606060606061</c:v>
                </c:pt>
                <c:pt idx="5">
                  <c:v>0.31060606060606061</c:v>
                </c:pt>
                <c:pt idx="6">
                  <c:v>0.31060606060606061</c:v>
                </c:pt>
                <c:pt idx="7">
                  <c:v>0.31060606060606061</c:v>
                </c:pt>
                <c:pt idx="8">
                  <c:v>0.31060606060606061</c:v>
                </c:pt>
                <c:pt idx="9">
                  <c:v>0.31060606060606061</c:v>
                </c:pt>
                <c:pt idx="10">
                  <c:v>0.31060606060606061</c:v>
                </c:pt>
                <c:pt idx="11">
                  <c:v>0.31060606060606061</c:v>
                </c:pt>
                <c:pt idx="12">
                  <c:v>0.31060606060606061</c:v>
                </c:pt>
                <c:pt idx="13">
                  <c:v>0.31060606060606061</c:v>
                </c:pt>
                <c:pt idx="14">
                  <c:v>0.31060606060606061</c:v>
                </c:pt>
                <c:pt idx="15">
                  <c:v>0.31060606060606061</c:v>
                </c:pt>
                <c:pt idx="16">
                  <c:v>0.31060606060606061</c:v>
                </c:pt>
                <c:pt idx="17">
                  <c:v>0.31060606060606061</c:v>
                </c:pt>
                <c:pt idx="18">
                  <c:v>0.31060606060606061</c:v>
                </c:pt>
                <c:pt idx="19">
                  <c:v>0.31060606060606061</c:v>
                </c:pt>
                <c:pt idx="20">
                  <c:v>0.31060606060606061</c:v>
                </c:pt>
                <c:pt idx="21">
                  <c:v>0.31060606060606061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1F-4352-BA5F-CE5BFC596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'10'!$L$6:$L$27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12418</c:v>
                </c:pt>
                <c:pt idx="2">
                  <c:v>1990</c:v>
                </c:pt>
                <c:pt idx="3">
                  <c:v>5116</c:v>
                </c:pt>
                <c:pt idx="4">
                  <c:v>5773</c:v>
                </c:pt>
                <c:pt idx="6">
                  <c:v>5267</c:v>
                </c:pt>
                <c:pt idx="7">
                  <c:v>26388</c:v>
                </c:pt>
                <c:pt idx="9">
                  <c:v>0</c:v>
                </c:pt>
                <c:pt idx="10">
                  <c:v>0</c:v>
                </c:pt>
                <c:pt idx="13">
                  <c:v>23044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1-4135-92D3-54F01665AE77}"/>
            </c:ext>
          </c:extLst>
        </c:ser>
        <c:ser>
          <c:idx val="1"/>
          <c:order val="1"/>
          <c:tx>
            <c:v>계획</c:v>
          </c:tx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12418</c:v>
                </c:pt>
                <c:pt idx="2">
                  <c:v>1990</c:v>
                </c:pt>
                <c:pt idx="3">
                  <c:v>5116</c:v>
                </c:pt>
                <c:pt idx="4">
                  <c:v>5773</c:v>
                </c:pt>
                <c:pt idx="5">
                  <c:v>3576</c:v>
                </c:pt>
                <c:pt idx="6">
                  <c:v>5267</c:v>
                </c:pt>
                <c:pt idx="7">
                  <c:v>26388</c:v>
                </c:pt>
                <c:pt idx="8">
                  <c:v>1166</c:v>
                </c:pt>
                <c:pt idx="9">
                  <c:v>76</c:v>
                </c:pt>
                <c:pt idx="10">
                  <c:v>2748</c:v>
                </c:pt>
                <c:pt idx="11">
                  <c:v>4211</c:v>
                </c:pt>
                <c:pt idx="12">
                  <c:v>11326</c:v>
                </c:pt>
                <c:pt idx="13">
                  <c:v>23044</c:v>
                </c:pt>
                <c:pt idx="14">
                  <c:v>20332</c:v>
                </c:pt>
                <c:pt idx="15">
                  <c:v>19857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1-4135-92D3-54F01665A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'10'!$AD$6:$AD$27</c:f>
              <c:strCache>
                <c:ptCount val="22"/>
                <c:pt idx="0">
                  <c:v>63%</c:v>
                </c:pt>
                <c:pt idx="1">
                  <c:v>100%</c:v>
                </c:pt>
                <c:pt idx="2">
                  <c:v>21%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'10'!$AD$6:$AD$27</c:f>
              <c:numCache>
                <c:formatCode>0%</c:formatCode>
                <c:ptCount val="22"/>
                <c:pt idx="0">
                  <c:v>0.625</c:v>
                </c:pt>
                <c:pt idx="1">
                  <c:v>1</c:v>
                </c:pt>
                <c:pt idx="2">
                  <c:v>0.20833333333333334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F-4594-8EB9-0C983DD0E93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CF-4594-8EB9-0C983DD0E9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'10'!$D$6:$D$27</c:f>
              <c:strCache>
                <c:ptCount val="22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PLATE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'10'!$AE$6:$AE$27</c:f>
              <c:numCache>
                <c:formatCode>0%</c:formatCode>
                <c:ptCount val="22"/>
                <c:pt idx="0">
                  <c:v>0.31060606060606061</c:v>
                </c:pt>
                <c:pt idx="1">
                  <c:v>0.31060606060606061</c:v>
                </c:pt>
                <c:pt idx="2">
                  <c:v>0.31060606060606061</c:v>
                </c:pt>
                <c:pt idx="3">
                  <c:v>0.31060606060606061</c:v>
                </c:pt>
                <c:pt idx="4">
                  <c:v>0.31060606060606061</c:v>
                </c:pt>
                <c:pt idx="5">
                  <c:v>0.31060606060606061</c:v>
                </c:pt>
                <c:pt idx="6">
                  <c:v>0.31060606060606061</c:v>
                </c:pt>
                <c:pt idx="7">
                  <c:v>0.31060606060606061</c:v>
                </c:pt>
                <c:pt idx="8">
                  <c:v>0.31060606060606061</c:v>
                </c:pt>
                <c:pt idx="9">
                  <c:v>0.31060606060606061</c:v>
                </c:pt>
                <c:pt idx="10">
                  <c:v>0.31060606060606061</c:v>
                </c:pt>
                <c:pt idx="11">
                  <c:v>0.31060606060606061</c:v>
                </c:pt>
                <c:pt idx="12">
                  <c:v>0.31060606060606061</c:v>
                </c:pt>
                <c:pt idx="13">
                  <c:v>0.31060606060606061</c:v>
                </c:pt>
                <c:pt idx="14">
                  <c:v>0.31060606060606061</c:v>
                </c:pt>
                <c:pt idx="15">
                  <c:v>0.31060606060606061</c:v>
                </c:pt>
                <c:pt idx="16">
                  <c:v>0.31060606060606061</c:v>
                </c:pt>
                <c:pt idx="17">
                  <c:v>0.31060606060606061</c:v>
                </c:pt>
                <c:pt idx="18">
                  <c:v>0.31060606060606061</c:v>
                </c:pt>
                <c:pt idx="19">
                  <c:v>0.31060606060606061</c:v>
                </c:pt>
                <c:pt idx="20">
                  <c:v>0.31060606060606061</c:v>
                </c:pt>
                <c:pt idx="21">
                  <c:v>0.31060606060606061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CF-4594-8EB9-0C983DD0E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365-43FF-BD28-82EA13712F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5-43FF-BD28-82EA1371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365-43FF-BD28-82EA13712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65-43FF-BD28-82EA1371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'11'!$L$6:$L$28</c:f>
              <c:numCache>
                <c:formatCode>_(* #,##0_);_(* \(#,##0\);_(* "-"_);_(@_)</c:formatCode>
                <c:ptCount val="23"/>
                <c:pt idx="1">
                  <c:v>2066</c:v>
                </c:pt>
                <c:pt idx="4">
                  <c:v>2582</c:v>
                </c:pt>
                <c:pt idx="5">
                  <c:v>6510</c:v>
                </c:pt>
                <c:pt idx="7">
                  <c:v>5309</c:v>
                </c:pt>
                <c:pt idx="8">
                  <c:v>24942</c:v>
                </c:pt>
                <c:pt idx="12">
                  <c:v>5785</c:v>
                </c:pt>
                <c:pt idx="14">
                  <c:v>17040</c:v>
                </c:pt>
                <c:pt idx="16">
                  <c:v>14847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5-4072-AFFA-AA4E92C1ADA0}"/>
            </c:ext>
          </c:extLst>
        </c:ser>
        <c:ser>
          <c:idx val="1"/>
          <c:order val="1"/>
          <c:tx>
            <c:v>계획</c:v>
          </c:tx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'11'!$J$6:$J$28</c:f>
              <c:numCache>
                <c:formatCode>_(* #,##0_);_(* \(#,##0\);_(* "-"_);_(@_)</c:formatCode>
                <c:ptCount val="23"/>
                <c:pt idx="0">
                  <c:v>2794</c:v>
                </c:pt>
                <c:pt idx="1">
                  <c:v>2066</c:v>
                </c:pt>
                <c:pt idx="2">
                  <c:v>1990</c:v>
                </c:pt>
                <c:pt idx="3">
                  <c:v>5116</c:v>
                </c:pt>
                <c:pt idx="4">
                  <c:v>2582</c:v>
                </c:pt>
                <c:pt idx="5">
                  <c:v>6510</c:v>
                </c:pt>
                <c:pt idx="6">
                  <c:v>3576</c:v>
                </c:pt>
                <c:pt idx="7">
                  <c:v>5309</c:v>
                </c:pt>
                <c:pt idx="8">
                  <c:v>24942</c:v>
                </c:pt>
                <c:pt idx="9">
                  <c:v>1166</c:v>
                </c:pt>
                <c:pt idx="10">
                  <c:v>76</c:v>
                </c:pt>
                <c:pt idx="11">
                  <c:v>2748</c:v>
                </c:pt>
                <c:pt idx="12">
                  <c:v>5785</c:v>
                </c:pt>
                <c:pt idx="13">
                  <c:v>11326</c:v>
                </c:pt>
                <c:pt idx="14">
                  <c:v>17040</c:v>
                </c:pt>
                <c:pt idx="15">
                  <c:v>20332</c:v>
                </c:pt>
                <c:pt idx="16">
                  <c:v>14847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5-4072-AFFA-AA4E92C1A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'11'!$AD$6:$AD$28</c:f>
              <c:strCache>
                <c:ptCount val="23"/>
                <c:pt idx="0">
                  <c:v>0%</c:v>
                </c:pt>
                <c:pt idx="1">
                  <c:v>25%</c:v>
                </c:pt>
                <c:pt idx="2">
                  <c:v>0%</c:v>
                </c:pt>
                <c:pt idx="3">
                  <c:v>0%</c:v>
                </c:pt>
                <c:pt idx="4">
                  <c:v>42%</c:v>
                </c:pt>
                <c:pt idx="5">
                  <c:v>50%</c:v>
                </c:pt>
                <c:pt idx="6">
                  <c:v>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42%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'11'!$AD$6:$AD$28</c:f>
              <c:numCache>
                <c:formatCode>0%</c:formatCode>
                <c:ptCount val="23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0.41666666666666669</c:v>
                </c:pt>
                <c:pt idx="5">
                  <c:v>0.5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0.41666666666666669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4-4711-9DAB-5189DACFBC5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B4-4711-9DAB-5189DACFBC5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'11'!$AE$6:$AE$28</c:f>
              <c:numCache>
                <c:formatCode>0%</c:formatCode>
                <c:ptCount val="23"/>
                <c:pt idx="0">
                  <c:v>0.1992753623188406</c:v>
                </c:pt>
                <c:pt idx="1">
                  <c:v>0.1992753623188406</c:v>
                </c:pt>
                <c:pt idx="2">
                  <c:v>0.1992753623188406</c:v>
                </c:pt>
                <c:pt idx="3">
                  <c:v>0.1992753623188406</c:v>
                </c:pt>
                <c:pt idx="4">
                  <c:v>0.1992753623188406</c:v>
                </c:pt>
                <c:pt idx="5">
                  <c:v>0.1992753623188406</c:v>
                </c:pt>
                <c:pt idx="6">
                  <c:v>0.1992753623188406</c:v>
                </c:pt>
                <c:pt idx="7">
                  <c:v>0.1992753623188406</c:v>
                </c:pt>
                <c:pt idx="8">
                  <c:v>0.1992753623188406</c:v>
                </c:pt>
                <c:pt idx="9">
                  <c:v>0.1992753623188406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0.1992753623188406</c:v>
                </c:pt>
                <c:pt idx="13">
                  <c:v>0.1992753623188406</c:v>
                </c:pt>
                <c:pt idx="14">
                  <c:v>0.1992753623188406</c:v>
                </c:pt>
                <c:pt idx="15">
                  <c:v>0.1992753623188406</c:v>
                </c:pt>
                <c:pt idx="16">
                  <c:v>0.1992753623188406</c:v>
                </c:pt>
                <c:pt idx="17">
                  <c:v>0.1992753623188406</c:v>
                </c:pt>
                <c:pt idx="18">
                  <c:v>0.1992753623188406</c:v>
                </c:pt>
                <c:pt idx="19">
                  <c:v>0.1992753623188406</c:v>
                </c:pt>
                <c:pt idx="20">
                  <c:v>0.1992753623188406</c:v>
                </c:pt>
                <c:pt idx="21">
                  <c:v>0.1992753623188406</c:v>
                </c:pt>
                <c:pt idx="22">
                  <c:v>0.1992753623188406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4-4711-9DAB-5189DACFB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'11'!$L$6:$L$28</c:f>
              <c:numCache>
                <c:formatCode>_(* #,##0_);_(* \(#,##0\);_(* "-"_);_(@_)</c:formatCode>
                <c:ptCount val="23"/>
                <c:pt idx="1">
                  <c:v>2066</c:v>
                </c:pt>
                <c:pt idx="4">
                  <c:v>2582</c:v>
                </c:pt>
                <c:pt idx="5">
                  <c:v>6510</c:v>
                </c:pt>
                <c:pt idx="7">
                  <c:v>5309</c:v>
                </c:pt>
                <c:pt idx="8">
                  <c:v>24942</c:v>
                </c:pt>
                <c:pt idx="12">
                  <c:v>5785</c:v>
                </c:pt>
                <c:pt idx="14">
                  <c:v>17040</c:v>
                </c:pt>
                <c:pt idx="16">
                  <c:v>14847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E-4D4F-AB27-F1EACF732571}"/>
            </c:ext>
          </c:extLst>
        </c:ser>
        <c:ser>
          <c:idx val="1"/>
          <c:order val="1"/>
          <c:tx>
            <c:v>계획</c:v>
          </c:tx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'11'!$J$6:$J$28</c:f>
              <c:numCache>
                <c:formatCode>_(* #,##0_);_(* \(#,##0\);_(* "-"_);_(@_)</c:formatCode>
                <c:ptCount val="23"/>
                <c:pt idx="0">
                  <c:v>2794</c:v>
                </c:pt>
                <c:pt idx="1">
                  <c:v>2066</c:v>
                </c:pt>
                <c:pt idx="2">
                  <c:v>1990</c:v>
                </c:pt>
                <c:pt idx="3">
                  <c:v>5116</c:v>
                </c:pt>
                <c:pt idx="4">
                  <c:v>2582</c:v>
                </c:pt>
                <c:pt idx="5">
                  <c:v>6510</c:v>
                </c:pt>
                <c:pt idx="6">
                  <c:v>3576</c:v>
                </c:pt>
                <c:pt idx="7">
                  <c:v>5309</c:v>
                </c:pt>
                <c:pt idx="8">
                  <c:v>24942</c:v>
                </c:pt>
                <c:pt idx="9">
                  <c:v>1166</c:v>
                </c:pt>
                <c:pt idx="10">
                  <c:v>76</c:v>
                </c:pt>
                <c:pt idx="11">
                  <c:v>2748</c:v>
                </c:pt>
                <c:pt idx="12">
                  <c:v>5785</c:v>
                </c:pt>
                <c:pt idx="13">
                  <c:v>11326</c:v>
                </c:pt>
                <c:pt idx="14">
                  <c:v>17040</c:v>
                </c:pt>
                <c:pt idx="15">
                  <c:v>20332</c:v>
                </c:pt>
                <c:pt idx="16">
                  <c:v>14847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E-4D4F-AB27-F1EACF732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'11'!$AD$6:$AD$28</c:f>
              <c:strCache>
                <c:ptCount val="23"/>
                <c:pt idx="0">
                  <c:v>0%</c:v>
                </c:pt>
                <c:pt idx="1">
                  <c:v>25%</c:v>
                </c:pt>
                <c:pt idx="2">
                  <c:v>0%</c:v>
                </c:pt>
                <c:pt idx="3">
                  <c:v>0%</c:v>
                </c:pt>
                <c:pt idx="4">
                  <c:v>42%</c:v>
                </c:pt>
                <c:pt idx="5">
                  <c:v>50%</c:v>
                </c:pt>
                <c:pt idx="6">
                  <c:v>0%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42%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'11'!$AD$6:$AD$28</c:f>
              <c:numCache>
                <c:formatCode>0%</c:formatCode>
                <c:ptCount val="23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0.41666666666666669</c:v>
                </c:pt>
                <c:pt idx="5">
                  <c:v>0.5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0.41666666666666669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0-41AC-8B5E-1C08716D900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B0-41AC-8B5E-1C08716D90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'11'!$D$6:$D$28</c:f>
              <c:strCache>
                <c:ptCount val="23"/>
                <c:pt idx="1">
                  <c:v>SAM</c:v>
                </c:pt>
                <c:pt idx="2">
                  <c:v>BASE</c:v>
                </c:pt>
                <c:pt idx="3">
                  <c:v>SLIDER</c:v>
                </c:pt>
                <c:pt idx="4">
                  <c:v>COVER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'11'!$AE$6:$AE$28</c:f>
              <c:numCache>
                <c:formatCode>0%</c:formatCode>
                <c:ptCount val="23"/>
                <c:pt idx="0">
                  <c:v>0.1992753623188406</c:v>
                </c:pt>
                <c:pt idx="1">
                  <c:v>0.1992753623188406</c:v>
                </c:pt>
                <c:pt idx="2">
                  <c:v>0.1992753623188406</c:v>
                </c:pt>
                <c:pt idx="3">
                  <c:v>0.1992753623188406</c:v>
                </c:pt>
                <c:pt idx="4">
                  <c:v>0.1992753623188406</c:v>
                </c:pt>
                <c:pt idx="5">
                  <c:v>0.1992753623188406</c:v>
                </c:pt>
                <c:pt idx="6">
                  <c:v>0.1992753623188406</c:v>
                </c:pt>
                <c:pt idx="7">
                  <c:v>0.1992753623188406</c:v>
                </c:pt>
                <c:pt idx="8">
                  <c:v>0.1992753623188406</c:v>
                </c:pt>
                <c:pt idx="9">
                  <c:v>0.1992753623188406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0.1992753623188406</c:v>
                </c:pt>
                <c:pt idx="13">
                  <c:v>0.1992753623188406</c:v>
                </c:pt>
                <c:pt idx="14">
                  <c:v>0.1992753623188406</c:v>
                </c:pt>
                <c:pt idx="15">
                  <c:v>0.1992753623188406</c:v>
                </c:pt>
                <c:pt idx="16">
                  <c:v>0.1992753623188406</c:v>
                </c:pt>
                <c:pt idx="17">
                  <c:v>0.1992753623188406</c:v>
                </c:pt>
                <c:pt idx="18">
                  <c:v>0.1992753623188406</c:v>
                </c:pt>
                <c:pt idx="19">
                  <c:v>0.1992753623188406</c:v>
                </c:pt>
                <c:pt idx="20">
                  <c:v>0.1992753623188406</c:v>
                </c:pt>
                <c:pt idx="21">
                  <c:v>0.1992753623188406</c:v>
                </c:pt>
                <c:pt idx="22">
                  <c:v>0.1992753623188406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0-41AC-8B5E-1C08716D9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168-4A0A-B745-50D4663957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8-4A0A-B745-50D466395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168-4A0A-B745-50D4663957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8-4A0A-B745-50D466395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'12'!$L$6:$L$28</c:f>
              <c:numCache>
                <c:formatCode>_(* #,##0_);_(* \(#,##0\);_(* "-"_);_(@_)</c:formatCode>
                <c:ptCount val="23"/>
                <c:pt idx="1">
                  <c:v>2878</c:v>
                </c:pt>
                <c:pt idx="4">
                  <c:v>5408</c:v>
                </c:pt>
                <c:pt idx="5">
                  <c:v>1000</c:v>
                </c:pt>
                <c:pt idx="7">
                  <c:v>13944</c:v>
                </c:pt>
                <c:pt idx="11">
                  <c:v>6010</c:v>
                </c:pt>
                <c:pt idx="12">
                  <c:v>5395</c:v>
                </c:pt>
                <c:pt idx="14">
                  <c:v>19056</c:v>
                </c:pt>
                <c:pt idx="16">
                  <c:v>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B-4319-AF51-E4845F5CC830}"/>
            </c:ext>
          </c:extLst>
        </c:ser>
        <c:ser>
          <c:idx val="1"/>
          <c:order val="1"/>
          <c:tx>
            <c:v>계획</c:v>
          </c:tx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'12'!$J$6:$J$28</c:f>
              <c:numCache>
                <c:formatCode>_(* #,##0_);_(* \(#,##0\);_(* "-"_);_(@_)</c:formatCode>
                <c:ptCount val="23"/>
                <c:pt idx="0">
                  <c:v>2794</c:v>
                </c:pt>
                <c:pt idx="1">
                  <c:v>2878</c:v>
                </c:pt>
                <c:pt idx="2">
                  <c:v>1990</c:v>
                </c:pt>
                <c:pt idx="3">
                  <c:v>5116</c:v>
                </c:pt>
                <c:pt idx="4">
                  <c:v>5408</c:v>
                </c:pt>
                <c:pt idx="5">
                  <c:v>1000</c:v>
                </c:pt>
                <c:pt idx="6">
                  <c:v>3576</c:v>
                </c:pt>
                <c:pt idx="7">
                  <c:v>13944</c:v>
                </c:pt>
                <c:pt idx="8">
                  <c:v>24942</c:v>
                </c:pt>
                <c:pt idx="9">
                  <c:v>1166</c:v>
                </c:pt>
                <c:pt idx="10">
                  <c:v>76</c:v>
                </c:pt>
                <c:pt idx="11">
                  <c:v>6010</c:v>
                </c:pt>
                <c:pt idx="12">
                  <c:v>5395</c:v>
                </c:pt>
                <c:pt idx="13">
                  <c:v>11326</c:v>
                </c:pt>
                <c:pt idx="14">
                  <c:v>19056</c:v>
                </c:pt>
                <c:pt idx="15">
                  <c:v>20332</c:v>
                </c:pt>
                <c:pt idx="16">
                  <c:v>2532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B-4319-AF51-E4845F5C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'12'!$AD$6:$AD$28</c:f>
              <c:strCache>
                <c:ptCount val="23"/>
                <c:pt idx="0">
                  <c:v>0%</c:v>
                </c:pt>
                <c:pt idx="1">
                  <c:v>50%</c:v>
                </c:pt>
                <c:pt idx="2">
                  <c:v>0%</c:v>
                </c:pt>
                <c:pt idx="3">
                  <c:v>0%</c:v>
                </c:pt>
                <c:pt idx="4">
                  <c:v>58%</c:v>
                </c:pt>
                <c:pt idx="5">
                  <c:v>13%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96%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42%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'12'!$AD$6:$AD$28</c:f>
              <c:numCache>
                <c:formatCode>0%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0.58333333333333337</c:v>
                </c:pt>
                <c:pt idx="5">
                  <c:v>0.125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0.95833333333333337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0.41666666666666669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9-4A0A-9D2C-B1345E091C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B9-4A0A-9D2C-B1345E091C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'12'!$AE$6:$AE$28</c:f>
              <c:numCache>
                <c:formatCode>0%</c:formatCode>
                <c:ptCount val="23"/>
                <c:pt idx="0">
                  <c:v>0.1992753623188406</c:v>
                </c:pt>
                <c:pt idx="1">
                  <c:v>0.1992753623188406</c:v>
                </c:pt>
                <c:pt idx="2">
                  <c:v>0.1992753623188406</c:v>
                </c:pt>
                <c:pt idx="3">
                  <c:v>0.1992753623188406</c:v>
                </c:pt>
                <c:pt idx="4">
                  <c:v>0.1992753623188406</c:v>
                </c:pt>
                <c:pt idx="5">
                  <c:v>0.1992753623188406</c:v>
                </c:pt>
                <c:pt idx="6">
                  <c:v>0.1992753623188406</c:v>
                </c:pt>
                <c:pt idx="7">
                  <c:v>0.1992753623188406</c:v>
                </c:pt>
                <c:pt idx="8">
                  <c:v>0.1992753623188406</c:v>
                </c:pt>
                <c:pt idx="9">
                  <c:v>0.1992753623188406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0.1992753623188406</c:v>
                </c:pt>
                <c:pt idx="13">
                  <c:v>0.1992753623188406</c:v>
                </c:pt>
                <c:pt idx="14">
                  <c:v>0.1992753623188406</c:v>
                </c:pt>
                <c:pt idx="15">
                  <c:v>0.1992753623188406</c:v>
                </c:pt>
                <c:pt idx="16">
                  <c:v>0.1992753623188406</c:v>
                </c:pt>
                <c:pt idx="17">
                  <c:v>0.1992753623188406</c:v>
                </c:pt>
                <c:pt idx="18">
                  <c:v>0.1992753623188406</c:v>
                </c:pt>
                <c:pt idx="19">
                  <c:v>0.1992753623188406</c:v>
                </c:pt>
                <c:pt idx="20">
                  <c:v>0.1992753623188406</c:v>
                </c:pt>
                <c:pt idx="21">
                  <c:v>0.1992753623188406</c:v>
                </c:pt>
                <c:pt idx="22">
                  <c:v>0.1992753623188406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B9-4A0A-9D2C-B1345E091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'12'!$L$6:$L$28</c:f>
              <c:numCache>
                <c:formatCode>_(* #,##0_);_(* \(#,##0\);_(* "-"_);_(@_)</c:formatCode>
                <c:ptCount val="23"/>
                <c:pt idx="1">
                  <c:v>2878</c:v>
                </c:pt>
                <c:pt idx="4">
                  <c:v>5408</c:v>
                </c:pt>
                <c:pt idx="5">
                  <c:v>1000</c:v>
                </c:pt>
                <c:pt idx="7">
                  <c:v>13944</c:v>
                </c:pt>
                <c:pt idx="11">
                  <c:v>6010</c:v>
                </c:pt>
                <c:pt idx="12">
                  <c:v>5395</c:v>
                </c:pt>
                <c:pt idx="14">
                  <c:v>19056</c:v>
                </c:pt>
                <c:pt idx="16">
                  <c:v>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2-4FAD-81F3-5FA420B9A409}"/>
            </c:ext>
          </c:extLst>
        </c:ser>
        <c:ser>
          <c:idx val="1"/>
          <c:order val="1"/>
          <c:tx>
            <c:v>계획</c:v>
          </c:tx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'12'!$J$6:$J$28</c:f>
              <c:numCache>
                <c:formatCode>_(* #,##0_);_(* \(#,##0\);_(* "-"_);_(@_)</c:formatCode>
                <c:ptCount val="23"/>
                <c:pt idx="0">
                  <c:v>2794</c:v>
                </c:pt>
                <c:pt idx="1">
                  <c:v>2878</c:v>
                </c:pt>
                <c:pt idx="2">
                  <c:v>1990</c:v>
                </c:pt>
                <c:pt idx="3">
                  <c:v>5116</c:v>
                </c:pt>
                <c:pt idx="4">
                  <c:v>5408</c:v>
                </c:pt>
                <c:pt idx="5">
                  <c:v>1000</c:v>
                </c:pt>
                <c:pt idx="6">
                  <c:v>3576</c:v>
                </c:pt>
                <c:pt idx="7">
                  <c:v>13944</c:v>
                </c:pt>
                <c:pt idx="8">
                  <c:v>24942</c:v>
                </c:pt>
                <c:pt idx="9">
                  <c:v>1166</c:v>
                </c:pt>
                <c:pt idx="10">
                  <c:v>76</c:v>
                </c:pt>
                <c:pt idx="11">
                  <c:v>6010</c:v>
                </c:pt>
                <c:pt idx="12">
                  <c:v>5395</c:v>
                </c:pt>
                <c:pt idx="13">
                  <c:v>11326</c:v>
                </c:pt>
                <c:pt idx="14">
                  <c:v>19056</c:v>
                </c:pt>
                <c:pt idx="15">
                  <c:v>20332</c:v>
                </c:pt>
                <c:pt idx="16">
                  <c:v>2532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2-4FAD-81F3-5FA420B9A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'12'!$AD$6:$AD$28</c:f>
              <c:strCache>
                <c:ptCount val="23"/>
                <c:pt idx="0">
                  <c:v>0%</c:v>
                </c:pt>
                <c:pt idx="1">
                  <c:v>50%</c:v>
                </c:pt>
                <c:pt idx="2">
                  <c:v>0%</c:v>
                </c:pt>
                <c:pt idx="3">
                  <c:v>0%</c:v>
                </c:pt>
                <c:pt idx="4">
                  <c:v>58%</c:v>
                </c:pt>
                <c:pt idx="5">
                  <c:v>13%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96%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  <c:pt idx="16">
                  <c:v>42%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'12'!$AD$6:$AD$28</c:f>
              <c:numCache>
                <c:formatCode>0%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0.58333333333333337</c:v>
                </c:pt>
                <c:pt idx="5">
                  <c:v>0.125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0.95833333333333337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0.41666666666666669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1-4BE7-82BA-C23F5F8868C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21-4BE7-82BA-C23F5F8868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'12'!$D$6:$D$28</c:f>
              <c:strCache>
                <c:ptCount val="23"/>
                <c:pt idx="1">
                  <c:v>F/A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5">
                  <c:v>COVER</c:v>
                </c:pt>
                <c:pt idx="6">
                  <c:v>LATCH PLATE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'12'!$AE$6:$AE$28</c:f>
              <c:numCache>
                <c:formatCode>0%</c:formatCode>
                <c:ptCount val="23"/>
                <c:pt idx="0">
                  <c:v>0.1992753623188406</c:v>
                </c:pt>
                <c:pt idx="1">
                  <c:v>0.1992753623188406</c:v>
                </c:pt>
                <c:pt idx="2">
                  <c:v>0.1992753623188406</c:v>
                </c:pt>
                <c:pt idx="3">
                  <c:v>0.1992753623188406</c:v>
                </c:pt>
                <c:pt idx="4">
                  <c:v>0.1992753623188406</c:v>
                </c:pt>
                <c:pt idx="5">
                  <c:v>0.1992753623188406</c:v>
                </c:pt>
                <c:pt idx="6">
                  <c:v>0.1992753623188406</c:v>
                </c:pt>
                <c:pt idx="7">
                  <c:v>0.1992753623188406</c:v>
                </c:pt>
                <c:pt idx="8">
                  <c:v>0.1992753623188406</c:v>
                </c:pt>
                <c:pt idx="9">
                  <c:v>0.1992753623188406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0.1992753623188406</c:v>
                </c:pt>
                <c:pt idx="13">
                  <c:v>0.1992753623188406</c:v>
                </c:pt>
                <c:pt idx="14">
                  <c:v>0.1992753623188406</c:v>
                </c:pt>
                <c:pt idx="15">
                  <c:v>0.1992753623188406</c:v>
                </c:pt>
                <c:pt idx="16">
                  <c:v>0.1992753623188406</c:v>
                </c:pt>
                <c:pt idx="17">
                  <c:v>0.1992753623188406</c:v>
                </c:pt>
                <c:pt idx="18">
                  <c:v>0.1992753623188406</c:v>
                </c:pt>
                <c:pt idx="19">
                  <c:v>0.1992753623188406</c:v>
                </c:pt>
                <c:pt idx="20">
                  <c:v>0.1992753623188406</c:v>
                </c:pt>
                <c:pt idx="21">
                  <c:v>0.1992753623188406</c:v>
                </c:pt>
                <c:pt idx="22">
                  <c:v>0.1992753623188406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21-4BE7-82BA-C23F5F886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83A-487C-8533-751EF464DA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A-487C-8533-751EF464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83A-487C-8533-751EF464DA8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3A-487C-8533-751EF464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'13'!$L$6:$L$28</c:f>
              <c:numCache>
                <c:formatCode>_(* #,##0_);_(* \(#,##0\);_(* "-"_);_(@_)</c:formatCode>
                <c:ptCount val="23"/>
                <c:pt idx="1">
                  <c:v>4146</c:v>
                </c:pt>
                <c:pt idx="2">
                  <c:v>1278</c:v>
                </c:pt>
                <c:pt idx="3">
                  <c:v>6610</c:v>
                </c:pt>
                <c:pt idx="5">
                  <c:v>8446</c:v>
                </c:pt>
                <c:pt idx="6">
                  <c:v>5077</c:v>
                </c:pt>
                <c:pt idx="7">
                  <c:v>25572</c:v>
                </c:pt>
                <c:pt idx="8">
                  <c:v>105</c:v>
                </c:pt>
                <c:pt idx="9">
                  <c:v>120</c:v>
                </c:pt>
                <c:pt idx="11">
                  <c:v>6502</c:v>
                </c:pt>
                <c:pt idx="13">
                  <c:v>2371</c:v>
                </c:pt>
                <c:pt idx="14">
                  <c:v>16611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3-4A00-A58D-8E94037E89C6}"/>
            </c:ext>
          </c:extLst>
        </c:ser>
        <c:ser>
          <c:idx val="1"/>
          <c:order val="1"/>
          <c:tx>
            <c:v>계획</c:v>
          </c:tx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'13'!$J$6:$J$28</c:f>
              <c:numCache>
                <c:formatCode>_(* #,##0_);_(* \(#,##0\);_(* "-"_);_(@_)</c:formatCode>
                <c:ptCount val="23"/>
                <c:pt idx="0">
                  <c:v>2794</c:v>
                </c:pt>
                <c:pt idx="1">
                  <c:v>4146</c:v>
                </c:pt>
                <c:pt idx="2">
                  <c:v>1278</c:v>
                </c:pt>
                <c:pt idx="3">
                  <c:v>6610</c:v>
                </c:pt>
                <c:pt idx="4">
                  <c:v>5408</c:v>
                </c:pt>
                <c:pt idx="5">
                  <c:v>8446</c:v>
                </c:pt>
                <c:pt idx="6">
                  <c:v>5077</c:v>
                </c:pt>
                <c:pt idx="7">
                  <c:v>25572</c:v>
                </c:pt>
                <c:pt idx="8">
                  <c:v>105</c:v>
                </c:pt>
                <c:pt idx="9">
                  <c:v>120</c:v>
                </c:pt>
                <c:pt idx="10">
                  <c:v>76</c:v>
                </c:pt>
                <c:pt idx="11">
                  <c:v>6502</c:v>
                </c:pt>
                <c:pt idx="12">
                  <c:v>5395</c:v>
                </c:pt>
                <c:pt idx="13">
                  <c:v>2371</c:v>
                </c:pt>
                <c:pt idx="14">
                  <c:v>16611</c:v>
                </c:pt>
                <c:pt idx="15">
                  <c:v>20332</c:v>
                </c:pt>
                <c:pt idx="16">
                  <c:v>2532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3-4A00-A58D-8E94037E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'13'!$AD$6:$AD$28</c:f>
              <c:strCache>
                <c:ptCount val="23"/>
                <c:pt idx="0">
                  <c:v>0%</c:v>
                </c:pt>
                <c:pt idx="1">
                  <c:v>75%</c:v>
                </c:pt>
                <c:pt idx="2">
                  <c:v>17%</c:v>
                </c:pt>
                <c:pt idx="3">
                  <c:v>71%</c:v>
                </c:pt>
                <c:pt idx="4">
                  <c:v>0%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13%</c:v>
                </c:pt>
                <c:pt idx="9">
                  <c:v>17%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'13'!$AD$6:$AD$28</c:f>
              <c:numCache>
                <c:formatCode>0%</c:formatCode>
                <c:ptCount val="23"/>
                <c:pt idx="0">
                  <c:v>0</c:v>
                </c:pt>
                <c:pt idx="1">
                  <c:v>0.75</c:v>
                </c:pt>
                <c:pt idx="2">
                  <c:v>0.16666666666666666</c:v>
                </c:pt>
                <c:pt idx="3">
                  <c:v>0.70833333333333337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0.125</c:v>
                </c:pt>
                <c:pt idx="9">
                  <c:v>0.16666666666666666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C-4245-9C09-04C0E1543E9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DC-4245-9C09-04C0E1543E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'13'!$AE$6:$AE$28</c:f>
              <c:numCache>
                <c:formatCode>0%</c:formatCode>
                <c:ptCount val="23"/>
                <c:pt idx="0">
                  <c:v>0.31521739130434784</c:v>
                </c:pt>
                <c:pt idx="1">
                  <c:v>0.31521739130434784</c:v>
                </c:pt>
                <c:pt idx="2">
                  <c:v>0.31521739130434784</c:v>
                </c:pt>
                <c:pt idx="3">
                  <c:v>0.31521739130434784</c:v>
                </c:pt>
                <c:pt idx="4">
                  <c:v>0.31521739130434784</c:v>
                </c:pt>
                <c:pt idx="5">
                  <c:v>0.31521739130434784</c:v>
                </c:pt>
                <c:pt idx="6">
                  <c:v>0.31521739130434784</c:v>
                </c:pt>
                <c:pt idx="7">
                  <c:v>0.31521739130434784</c:v>
                </c:pt>
                <c:pt idx="8">
                  <c:v>0.31521739130434784</c:v>
                </c:pt>
                <c:pt idx="9">
                  <c:v>0.31521739130434784</c:v>
                </c:pt>
                <c:pt idx="10">
                  <c:v>0.31521739130434784</c:v>
                </c:pt>
                <c:pt idx="11">
                  <c:v>0.31521739130434784</c:v>
                </c:pt>
                <c:pt idx="12">
                  <c:v>0.31521739130434784</c:v>
                </c:pt>
                <c:pt idx="13">
                  <c:v>0.31521739130434784</c:v>
                </c:pt>
                <c:pt idx="14">
                  <c:v>0.31521739130434784</c:v>
                </c:pt>
                <c:pt idx="15">
                  <c:v>0.31521739130434784</c:v>
                </c:pt>
                <c:pt idx="16">
                  <c:v>0.31521739130434784</c:v>
                </c:pt>
                <c:pt idx="17">
                  <c:v>0.31521739130434784</c:v>
                </c:pt>
                <c:pt idx="18">
                  <c:v>0.31521739130434784</c:v>
                </c:pt>
                <c:pt idx="19">
                  <c:v>0.31521739130434784</c:v>
                </c:pt>
                <c:pt idx="20">
                  <c:v>0.31521739130434784</c:v>
                </c:pt>
                <c:pt idx="21">
                  <c:v>0.31521739130434784</c:v>
                </c:pt>
                <c:pt idx="22">
                  <c:v>0.31521739130434784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DC-4245-9C09-04C0E1543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'13'!$L$6:$L$28</c:f>
              <c:numCache>
                <c:formatCode>_(* #,##0_);_(* \(#,##0\);_(* "-"_);_(@_)</c:formatCode>
                <c:ptCount val="23"/>
                <c:pt idx="1">
                  <c:v>4146</c:v>
                </c:pt>
                <c:pt idx="2">
                  <c:v>1278</c:v>
                </c:pt>
                <c:pt idx="3">
                  <c:v>6610</c:v>
                </c:pt>
                <c:pt idx="5">
                  <c:v>8446</c:v>
                </c:pt>
                <c:pt idx="6">
                  <c:v>5077</c:v>
                </c:pt>
                <c:pt idx="7">
                  <c:v>25572</c:v>
                </c:pt>
                <c:pt idx="8">
                  <c:v>105</c:v>
                </c:pt>
                <c:pt idx="9">
                  <c:v>120</c:v>
                </c:pt>
                <c:pt idx="11">
                  <c:v>6502</c:v>
                </c:pt>
                <c:pt idx="13">
                  <c:v>2371</c:v>
                </c:pt>
                <c:pt idx="14">
                  <c:v>16611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E-41B4-91B9-C82C000BABED}"/>
            </c:ext>
          </c:extLst>
        </c:ser>
        <c:ser>
          <c:idx val="1"/>
          <c:order val="1"/>
          <c:tx>
            <c:v>계획</c:v>
          </c:tx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'13'!$J$6:$J$28</c:f>
              <c:numCache>
                <c:formatCode>_(* #,##0_);_(* \(#,##0\);_(* "-"_);_(@_)</c:formatCode>
                <c:ptCount val="23"/>
                <c:pt idx="0">
                  <c:v>2794</c:v>
                </c:pt>
                <c:pt idx="1">
                  <c:v>4146</c:v>
                </c:pt>
                <c:pt idx="2">
                  <c:v>1278</c:v>
                </c:pt>
                <c:pt idx="3">
                  <c:v>6610</c:v>
                </c:pt>
                <c:pt idx="4">
                  <c:v>5408</c:v>
                </c:pt>
                <c:pt idx="5">
                  <c:v>8446</c:v>
                </c:pt>
                <c:pt idx="6">
                  <c:v>5077</c:v>
                </c:pt>
                <c:pt idx="7">
                  <c:v>25572</c:v>
                </c:pt>
                <c:pt idx="8">
                  <c:v>105</c:v>
                </c:pt>
                <c:pt idx="9">
                  <c:v>120</c:v>
                </c:pt>
                <c:pt idx="10">
                  <c:v>76</c:v>
                </c:pt>
                <c:pt idx="11">
                  <c:v>6502</c:v>
                </c:pt>
                <c:pt idx="12">
                  <c:v>5395</c:v>
                </c:pt>
                <c:pt idx="13">
                  <c:v>2371</c:v>
                </c:pt>
                <c:pt idx="14">
                  <c:v>16611</c:v>
                </c:pt>
                <c:pt idx="15">
                  <c:v>20332</c:v>
                </c:pt>
                <c:pt idx="16">
                  <c:v>2532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E-41B4-91B9-C82C000BA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'13'!$AD$6:$AD$28</c:f>
              <c:strCache>
                <c:ptCount val="23"/>
                <c:pt idx="0">
                  <c:v>0%</c:v>
                </c:pt>
                <c:pt idx="1">
                  <c:v>75%</c:v>
                </c:pt>
                <c:pt idx="2">
                  <c:v>17%</c:v>
                </c:pt>
                <c:pt idx="3">
                  <c:v>71%</c:v>
                </c:pt>
                <c:pt idx="4">
                  <c:v>0%</c:v>
                </c:pt>
                <c:pt idx="5">
                  <c:v>75%</c:v>
                </c:pt>
                <c:pt idx="6">
                  <c:v>100%</c:v>
                </c:pt>
                <c:pt idx="7">
                  <c:v>100%</c:v>
                </c:pt>
                <c:pt idx="8">
                  <c:v>13%</c:v>
                </c:pt>
                <c:pt idx="9">
                  <c:v>17%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'13'!$AD$6:$AD$28</c:f>
              <c:numCache>
                <c:formatCode>0%</c:formatCode>
                <c:ptCount val="23"/>
                <c:pt idx="0">
                  <c:v>0</c:v>
                </c:pt>
                <c:pt idx="1">
                  <c:v>0.75</c:v>
                </c:pt>
                <c:pt idx="2">
                  <c:v>0.16666666666666666</c:v>
                </c:pt>
                <c:pt idx="3">
                  <c:v>0.70833333333333337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0.125</c:v>
                </c:pt>
                <c:pt idx="9">
                  <c:v>0.16666666666666666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0-40C6-9A68-9A2BA219A71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F0-40C6-9A68-9A2BA219A7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'13'!$D$6:$D$28</c:f>
              <c:strCache>
                <c:ptCount val="23"/>
                <c:pt idx="1">
                  <c:v>F/A</c:v>
                </c:pt>
                <c:pt idx="2">
                  <c:v>STOPPER</c:v>
                </c:pt>
                <c:pt idx="3">
                  <c:v>LEAD GUIDER</c:v>
                </c:pt>
                <c:pt idx="4">
                  <c:v>LATCH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UNDER BASE</c:v>
                </c:pt>
                <c:pt idx="10">
                  <c:v>COVER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ACTUATOR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'13'!$AE$6:$AE$28</c:f>
              <c:numCache>
                <c:formatCode>0%</c:formatCode>
                <c:ptCount val="23"/>
                <c:pt idx="0">
                  <c:v>0.31521739130434784</c:v>
                </c:pt>
                <c:pt idx="1">
                  <c:v>0.31521739130434784</c:v>
                </c:pt>
                <c:pt idx="2">
                  <c:v>0.31521739130434784</c:v>
                </c:pt>
                <c:pt idx="3">
                  <c:v>0.31521739130434784</c:v>
                </c:pt>
                <c:pt idx="4">
                  <c:v>0.31521739130434784</c:v>
                </c:pt>
                <c:pt idx="5">
                  <c:v>0.31521739130434784</c:v>
                </c:pt>
                <c:pt idx="6">
                  <c:v>0.31521739130434784</c:v>
                </c:pt>
                <c:pt idx="7">
                  <c:v>0.31521739130434784</c:v>
                </c:pt>
                <c:pt idx="8">
                  <c:v>0.31521739130434784</c:v>
                </c:pt>
                <c:pt idx="9">
                  <c:v>0.31521739130434784</c:v>
                </c:pt>
                <c:pt idx="10">
                  <c:v>0.31521739130434784</c:v>
                </c:pt>
                <c:pt idx="11">
                  <c:v>0.31521739130434784</c:v>
                </c:pt>
                <c:pt idx="12">
                  <c:v>0.31521739130434784</c:v>
                </c:pt>
                <c:pt idx="13">
                  <c:v>0.31521739130434784</c:v>
                </c:pt>
                <c:pt idx="14">
                  <c:v>0.31521739130434784</c:v>
                </c:pt>
                <c:pt idx="15">
                  <c:v>0.31521739130434784</c:v>
                </c:pt>
                <c:pt idx="16">
                  <c:v>0.31521739130434784</c:v>
                </c:pt>
                <c:pt idx="17">
                  <c:v>0.31521739130434784</c:v>
                </c:pt>
                <c:pt idx="18">
                  <c:v>0.31521739130434784</c:v>
                </c:pt>
                <c:pt idx="19">
                  <c:v>0.31521739130434784</c:v>
                </c:pt>
                <c:pt idx="20">
                  <c:v>0.31521739130434784</c:v>
                </c:pt>
                <c:pt idx="21">
                  <c:v>0.31521739130434784</c:v>
                </c:pt>
                <c:pt idx="22">
                  <c:v>0.31521739130434784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F0-40C6-9A68-9A2BA219A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210-4BFD-9BF5-43BCA54512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0-4BFD-9BF5-43BCA5451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210-4BFD-9BF5-43BCA54512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10-4BFD-9BF5-43BCA5451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'17'!$L$6:$L$27</c:f>
              <c:numCache>
                <c:formatCode>_(* #,##0_);_(* \(#,##0\);_(* "-"_);_(@_)</c:formatCode>
                <c:ptCount val="22"/>
                <c:pt idx="1">
                  <c:v>5110</c:v>
                </c:pt>
                <c:pt idx="2">
                  <c:v>2938</c:v>
                </c:pt>
                <c:pt idx="3">
                  <c:v>10542</c:v>
                </c:pt>
                <c:pt idx="4">
                  <c:v>10298</c:v>
                </c:pt>
                <c:pt idx="5">
                  <c:v>8354</c:v>
                </c:pt>
                <c:pt idx="6">
                  <c:v>5113</c:v>
                </c:pt>
                <c:pt idx="7">
                  <c:v>22932</c:v>
                </c:pt>
                <c:pt idx="10">
                  <c:v>272760</c:v>
                </c:pt>
                <c:pt idx="12">
                  <c:v>200</c:v>
                </c:pt>
                <c:pt idx="13">
                  <c:v>21012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0-4417-9F9A-110EAB209934}"/>
            </c:ext>
          </c:extLst>
        </c:ser>
        <c:ser>
          <c:idx val="1"/>
          <c:order val="1"/>
          <c:tx>
            <c:v>계획</c:v>
          </c:tx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5110</c:v>
                </c:pt>
                <c:pt idx="2">
                  <c:v>2938</c:v>
                </c:pt>
                <c:pt idx="3">
                  <c:v>10542</c:v>
                </c:pt>
                <c:pt idx="4">
                  <c:v>10298</c:v>
                </c:pt>
                <c:pt idx="5">
                  <c:v>8354</c:v>
                </c:pt>
                <c:pt idx="6">
                  <c:v>5113</c:v>
                </c:pt>
                <c:pt idx="7">
                  <c:v>22932</c:v>
                </c:pt>
                <c:pt idx="8">
                  <c:v>120</c:v>
                </c:pt>
                <c:pt idx="9">
                  <c:v>76</c:v>
                </c:pt>
                <c:pt idx="10">
                  <c:v>272760</c:v>
                </c:pt>
                <c:pt idx="11">
                  <c:v>5395</c:v>
                </c:pt>
                <c:pt idx="12">
                  <c:v>200</c:v>
                </c:pt>
                <c:pt idx="13">
                  <c:v>21012</c:v>
                </c:pt>
                <c:pt idx="14">
                  <c:v>20332</c:v>
                </c:pt>
                <c:pt idx="15">
                  <c:v>2532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0-4417-9F9A-110EAB209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'17'!$AD$6:$AD$27</c:f>
              <c:strCache>
                <c:ptCount val="22"/>
                <c:pt idx="0">
                  <c:v>0%</c:v>
                </c:pt>
                <c:pt idx="1">
                  <c:v>88%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79%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0%</c:v>
                </c:pt>
                <c:pt idx="12">
                  <c:v>8%</c:v>
                </c:pt>
                <c:pt idx="13">
                  <c:v>92%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'17'!$AD$6:$AD$27</c:f>
              <c:numCache>
                <c:formatCode>0%</c:formatCode>
                <c:ptCount val="22"/>
                <c:pt idx="0">
                  <c:v>0</c:v>
                </c:pt>
                <c:pt idx="1">
                  <c:v>0.875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0.79166666666666663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0.91666666666666663</c:v>
                </c:pt>
                <c:pt idx="11">
                  <c:v>0</c:v>
                </c:pt>
                <c:pt idx="12">
                  <c:v>8.3333333333333329E-2</c:v>
                </c:pt>
                <c:pt idx="13">
                  <c:v>0.91666666666666663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7B5-BA34-42CC01FD458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CF-47B5-BA34-42CC01FD45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'17'!$AE$6:$AE$27</c:f>
              <c:numCache>
                <c:formatCode>0%</c:formatCode>
                <c:ptCount val="22"/>
                <c:pt idx="0">
                  <c:v>0.35795454545454547</c:v>
                </c:pt>
                <c:pt idx="1">
                  <c:v>0.35795454545454547</c:v>
                </c:pt>
                <c:pt idx="2">
                  <c:v>0.35795454545454547</c:v>
                </c:pt>
                <c:pt idx="3">
                  <c:v>0.35795454545454547</c:v>
                </c:pt>
                <c:pt idx="4">
                  <c:v>0.35795454545454547</c:v>
                </c:pt>
                <c:pt idx="5">
                  <c:v>0.35795454545454547</c:v>
                </c:pt>
                <c:pt idx="6">
                  <c:v>0.35795454545454547</c:v>
                </c:pt>
                <c:pt idx="7">
                  <c:v>0.35795454545454547</c:v>
                </c:pt>
                <c:pt idx="8">
                  <c:v>0.35795454545454547</c:v>
                </c:pt>
                <c:pt idx="9">
                  <c:v>0.35795454545454547</c:v>
                </c:pt>
                <c:pt idx="10">
                  <c:v>0.35795454545454547</c:v>
                </c:pt>
                <c:pt idx="11">
                  <c:v>0.35795454545454547</c:v>
                </c:pt>
                <c:pt idx="12">
                  <c:v>0.35795454545454547</c:v>
                </c:pt>
                <c:pt idx="13">
                  <c:v>0.35795454545454547</c:v>
                </c:pt>
                <c:pt idx="14">
                  <c:v>0.35795454545454547</c:v>
                </c:pt>
                <c:pt idx="15">
                  <c:v>0.35795454545454547</c:v>
                </c:pt>
                <c:pt idx="16">
                  <c:v>0.35795454545454547</c:v>
                </c:pt>
                <c:pt idx="17">
                  <c:v>0.35795454545454547</c:v>
                </c:pt>
                <c:pt idx="18">
                  <c:v>0.35795454545454547</c:v>
                </c:pt>
                <c:pt idx="19">
                  <c:v>0.35795454545454547</c:v>
                </c:pt>
                <c:pt idx="20">
                  <c:v>0.35795454545454547</c:v>
                </c:pt>
                <c:pt idx="21">
                  <c:v>0.35795454545454547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F-47B5-BA34-42CC01FD4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'17'!$L$6:$L$27</c:f>
              <c:numCache>
                <c:formatCode>_(* #,##0_);_(* \(#,##0\);_(* "-"_);_(@_)</c:formatCode>
                <c:ptCount val="22"/>
                <c:pt idx="1">
                  <c:v>5110</c:v>
                </c:pt>
                <c:pt idx="2">
                  <c:v>2938</c:v>
                </c:pt>
                <c:pt idx="3">
                  <c:v>10542</c:v>
                </c:pt>
                <c:pt idx="4">
                  <c:v>10298</c:v>
                </c:pt>
                <c:pt idx="5">
                  <c:v>8354</c:v>
                </c:pt>
                <c:pt idx="6">
                  <c:v>5113</c:v>
                </c:pt>
                <c:pt idx="7">
                  <c:v>22932</c:v>
                </c:pt>
                <c:pt idx="10">
                  <c:v>272760</c:v>
                </c:pt>
                <c:pt idx="12">
                  <c:v>200</c:v>
                </c:pt>
                <c:pt idx="13">
                  <c:v>21012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C-477A-AEF6-F2925D8B841A}"/>
            </c:ext>
          </c:extLst>
        </c:ser>
        <c:ser>
          <c:idx val="1"/>
          <c:order val="1"/>
          <c:tx>
            <c:v>계획</c:v>
          </c:tx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5110</c:v>
                </c:pt>
                <c:pt idx="2">
                  <c:v>2938</c:v>
                </c:pt>
                <c:pt idx="3">
                  <c:v>10542</c:v>
                </c:pt>
                <c:pt idx="4">
                  <c:v>10298</c:v>
                </c:pt>
                <c:pt idx="5">
                  <c:v>8354</c:v>
                </c:pt>
                <c:pt idx="6">
                  <c:v>5113</c:v>
                </c:pt>
                <c:pt idx="7">
                  <c:v>22932</c:v>
                </c:pt>
                <c:pt idx="8">
                  <c:v>120</c:v>
                </c:pt>
                <c:pt idx="9">
                  <c:v>76</c:v>
                </c:pt>
                <c:pt idx="10">
                  <c:v>272760</c:v>
                </c:pt>
                <c:pt idx="11">
                  <c:v>5395</c:v>
                </c:pt>
                <c:pt idx="12">
                  <c:v>200</c:v>
                </c:pt>
                <c:pt idx="13">
                  <c:v>21012</c:v>
                </c:pt>
                <c:pt idx="14">
                  <c:v>20332</c:v>
                </c:pt>
                <c:pt idx="15">
                  <c:v>2532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C-477A-AEF6-F2925D8B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'17'!$AD$6:$AD$27</c:f>
              <c:strCache>
                <c:ptCount val="22"/>
                <c:pt idx="0">
                  <c:v>0%</c:v>
                </c:pt>
                <c:pt idx="1">
                  <c:v>88%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79%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92%</c:v>
                </c:pt>
                <c:pt idx="11">
                  <c:v>0%</c:v>
                </c:pt>
                <c:pt idx="12">
                  <c:v>8%</c:v>
                </c:pt>
                <c:pt idx="13">
                  <c:v>92%</c:v>
                </c:pt>
                <c:pt idx="14">
                  <c:v>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'17'!$AD$6:$AD$27</c:f>
              <c:numCache>
                <c:formatCode>0%</c:formatCode>
                <c:ptCount val="22"/>
                <c:pt idx="0">
                  <c:v>0</c:v>
                </c:pt>
                <c:pt idx="1">
                  <c:v>0.875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0.79166666666666663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0.91666666666666663</c:v>
                </c:pt>
                <c:pt idx="11">
                  <c:v>0</c:v>
                </c:pt>
                <c:pt idx="12">
                  <c:v>8.3333333333333329E-2</c:v>
                </c:pt>
                <c:pt idx="13">
                  <c:v>0.91666666666666663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C-4927-B52C-B49B6A206CF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DC-4927-B52C-B49B6A206C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2"/>
                <c:pt idx="1">
                  <c:v>F/A</c:v>
                </c:pt>
                <c:pt idx="2">
                  <c:v>BASE</c:v>
                </c:pt>
                <c:pt idx="3">
                  <c:v>LEAD GUIDER</c:v>
                </c:pt>
                <c:pt idx="4">
                  <c:v>COVER</c:v>
                </c:pt>
                <c:pt idx="5">
                  <c:v>LATCH PLATE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'17'!$AE$6:$AE$27</c:f>
              <c:numCache>
                <c:formatCode>0%</c:formatCode>
                <c:ptCount val="22"/>
                <c:pt idx="0">
                  <c:v>0.35795454545454547</c:v>
                </c:pt>
                <c:pt idx="1">
                  <c:v>0.35795454545454547</c:v>
                </c:pt>
                <c:pt idx="2">
                  <c:v>0.35795454545454547</c:v>
                </c:pt>
                <c:pt idx="3">
                  <c:v>0.35795454545454547</c:v>
                </c:pt>
                <c:pt idx="4">
                  <c:v>0.35795454545454547</c:v>
                </c:pt>
                <c:pt idx="5">
                  <c:v>0.35795454545454547</c:v>
                </c:pt>
                <c:pt idx="6">
                  <c:v>0.35795454545454547</c:v>
                </c:pt>
                <c:pt idx="7">
                  <c:v>0.35795454545454547</c:v>
                </c:pt>
                <c:pt idx="8">
                  <c:v>0.35795454545454547</c:v>
                </c:pt>
                <c:pt idx="9">
                  <c:v>0.35795454545454547</c:v>
                </c:pt>
                <c:pt idx="10">
                  <c:v>0.35795454545454547</c:v>
                </c:pt>
                <c:pt idx="11">
                  <c:v>0.35795454545454547</c:v>
                </c:pt>
                <c:pt idx="12">
                  <c:v>0.35795454545454547</c:v>
                </c:pt>
                <c:pt idx="13">
                  <c:v>0.35795454545454547</c:v>
                </c:pt>
                <c:pt idx="14">
                  <c:v>0.35795454545454547</c:v>
                </c:pt>
                <c:pt idx="15">
                  <c:v>0.35795454545454547</c:v>
                </c:pt>
                <c:pt idx="16">
                  <c:v>0.35795454545454547</c:v>
                </c:pt>
                <c:pt idx="17">
                  <c:v>0.35795454545454547</c:v>
                </c:pt>
                <c:pt idx="18">
                  <c:v>0.35795454545454547</c:v>
                </c:pt>
                <c:pt idx="19">
                  <c:v>0.35795454545454547</c:v>
                </c:pt>
                <c:pt idx="20">
                  <c:v>0.35795454545454547</c:v>
                </c:pt>
                <c:pt idx="21">
                  <c:v>0.35795454545454547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C-4927-B52C-B49B6A206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82D-49FA-B62D-F0E25EE118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D-49FA-B62D-F0E25EE11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82D-49FA-B62D-F0E25EE118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2D-49FA-B62D-F0E25EE11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'18'!$L$6:$L$27</c:f>
              <c:numCache>
                <c:formatCode>_(* #,##0_);_(* \(#,##0\);_(* "-"_);_(@_)</c:formatCode>
                <c:ptCount val="22"/>
                <c:pt idx="1">
                  <c:v>3406</c:v>
                </c:pt>
                <c:pt idx="2">
                  <c:v>1906</c:v>
                </c:pt>
                <c:pt idx="3">
                  <c:v>8974</c:v>
                </c:pt>
                <c:pt idx="4">
                  <c:v>11534</c:v>
                </c:pt>
                <c:pt idx="5">
                  <c:v>28416</c:v>
                </c:pt>
                <c:pt idx="6">
                  <c:v>5283</c:v>
                </c:pt>
                <c:pt idx="7">
                  <c:v>6014</c:v>
                </c:pt>
                <c:pt idx="10">
                  <c:v>336570</c:v>
                </c:pt>
                <c:pt idx="12">
                  <c:v>700</c:v>
                </c:pt>
                <c:pt idx="13">
                  <c:v>23908</c:v>
                </c:pt>
                <c:pt idx="15">
                  <c:v>34748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F-4238-B1B3-0CE3116B9EDA}"/>
            </c:ext>
          </c:extLst>
        </c:ser>
        <c:ser>
          <c:idx val="1"/>
          <c:order val="1"/>
          <c:tx>
            <c:v>계획</c:v>
          </c:tx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3406</c:v>
                </c:pt>
                <c:pt idx="2">
                  <c:v>1906</c:v>
                </c:pt>
                <c:pt idx="3">
                  <c:v>8974</c:v>
                </c:pt>
                <c:pt idx="4">
                  <c:v>11534</c:v>
                </c:pt>
                <c:pt idx="5">
                  <c:v>28416</c:v>
                </c:pt>
                <c:pt idx="6">
                  <c:v>5283</c:v>
                </c:pt>
                <c:pt idx="7">
                  <c:v>6014</c:v>
                </c:pt>
                <c:pt idx="8">
                  <c:v>120</c:v>
                </c:pt>
                <c:pt idx="9">
                  <c:v>76</c:v>
                </c:pt>
                <c:pt idx="10">
                  <c:v>336570</c:v>
                </c:pt>
                <c:pt idx="11">
                  <c:v>5395</c:v>
                </c:pt>
                <c:pt idx="12">
                  <c:v>700</c:v>
                </c:pt>
                <c:pt idx="13">
                  <c:v>23908</c:v>
                </c:pt>
                <c:pt idx="14">
                  <c:v>20332</c:v>
                </c:pt>
                <c:pt idx="15">
                  <c:v>34748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F-4238-B1B3-0CE3116B9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'18'!$AD$6:$AD$27</c:f>
              <c:strCache>
                <c:ptCount val="22"/>
                <c:pt idx="0">
                  <c:v>0%</c:v>
                </c:pt>
                <c:pt idx="1">
                  <c:v>71%</c:v>
                </c:pt>
                <c:pt idx="2">
                  <c:v>21%</c:v>
                </c:pt>
                <c:pt idx="3">
                  <c:v>83%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8%</c:v>
                </c:pt>
                <c:pt idx="13">
                  <c:v>100%</c:v>
                </c:pt>
                <c:pt idx="14">
                  <c:v>0%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'18'!$AD$6:$AD$27</c:f>
              <c:numCache>
                <c:formatCode>0%</c:formatCode>
                <c:ptCount val="22"/>
                <c:pt idx="0">
                  <c:v>0</c:v>
                </c:pt>
                <c:pt idx="1">
                  <c:v>0.70833333333333337</c:v>
                </c:pt>
                <c:pt idx="2">
                  <c:v>0.20833333333333334</c:v>
                </c:pt>
                <c:pt idx="3">
                  <c:v>0.83333333333333337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8.3333333333333329E-2</c:v>
                </c:pt>
                <c:pt idx="13">
                  <c:v>1</c:v>
                </c:pt>
                <c:pt idx="14">
                  <c:v>0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E-45A0-9D40-1CBD9D7479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DE-45A0-9D40-1CBD9D7479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'18'!$AE$6:$AE$27</c:f>
              <c:numCache>
                <c:formatCode>0%</c:formatCode>
                <c:ptCount val="22"/>
                <c:pt idx="0">
                  <c:v>0.38257575757575757</c:v>
                </c:pt>
                <c:pt idx="1">
                  <c:v>0.38257575757575757</c:v>
                </c:pt>
                <c:pt idx="2">
                  <c:v>0.38257575757575757</c:v>
                </c:pt>
                <c:pt idx="3">
                  <c:v>0.38257575757575757</c:v>
                </c:pt>
                <c:pt idx="4">
                  <c:v>0.38257575757575757</c:v>
                </c:pt>
                <c:pt idx="5">
                  <c:v>0.38257575757575757</c:v>
                </c:pt>
                <c:pt idx="6">
                  <c:v>0.38257575757575757</c:v>
                </c:pt>
                <c:pt idx="7">
                  <c:v>0.38257575757575757</c:v>
                </c:pt>
                <c:pt idx="8">
                  <c:v>0.38257575757575757</c:v>
                </c:pt>
                <c:pt idx="9">
                  <c:v>0.38257575757575757</c:v>
                </c:pt>
                <c:pt idx="10">
                  <c:v>0.38257575757575757</c:v>
                </c:pt>
                <c:pt idx="11">
                  <c:v>0.38257575757575757</c:v>
                </c:pt>
                <c:pt idx="12">
                  <c:v>0.38257575757575757</c:v>
                </c:pt>
                <c:pt idx="13">
                  <c:v>0.38257575757575757</c:v>
                </c:pt>
                <c:pt idx="14">
                  <c:v>0.38257575757575757</c:v>
                </c:pt>
                <c:pt idx="15">
                  <c:v>0.38257575757575757</c:v>
                </c:pt>
                <c:pt idx="16">
                  <c:v>0.38257575757575757</c:v>
                </c:pt>
                <c:pt idx="17">
                  <c:v>0.38257575757575757</c:v>
                </c:pt>
                <c:pt idx="18">
                  <c:v>0.38257575757575757</c:v>
                </c:pt>
                <c:pt idx="19">
                  <c:v>0.38257575757575757</c:v>
                </c:pt>
                <c:pt idx="20">
                  <c:v>0.38257575757575757</c:v>
                </c:pt>
                <c:pt idx="21">
                  <c:v>0.38257575757575757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DE-45A0-9D40-1CBD9D747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'18'!$L$6:$L$27</c:f>
              <c:numCache>
                <c:formatCode>_(* #,##0_);_(* \(#,##0\);_(* "-"_);_(@_)</c:formatCode>
                <c:ptCount val="22"/>
                <c:pt idx="1">
                  <c:v>3406</c:v>
                </c:pt>
                <c:pt idx="2">
                  <c:v>1906</c:v>
                </c:pt>
                <c:pt idx="3">
                  <c:v>8974</c:v>
                </c:pt>
                <c:pt idx="4">
                  <c:v>11534</c:v>
                </c:pt>
                <c:pt idx="5">
                  <c:v>28416</c:v>
                </c:pt>
                <c:pt idx="6">
                  <c:v>5283</c:v>
                </c:pt>
                <c:pt idx="7">
                  <c:v>6014</c:v>
                </c:pt>
                <c:pt idx="10">
                  <c:v>336570</c:v>
                </c:pt>
                <c:pt idx="12">
                  <c:v>700</c:v>
                </c:pt>
                <c:pt idx="13">
                  <c:v>23908</c:v>
                </c:pt>
                <c:pt idx="15">
                  <c:v>34748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5-4721-B700-33A7DB7E67C9}"/>
            </c:ext>
          </c:extLst>
        </c:ser>
        <c:ser>
          <c:idx val="1"/>
          <c:order val="1"/>
          <c:tx>
            <c:v>계획</c:v>
          </c:tx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3406</c:v>
                </c:pt>
                <c:pt idx="2">
                  <c:v>1906</c:v>
                </c:pt>
                <c:pt idx="3">
                  <c:v>8974</c:v>
                </c:pt>
                <c:pt idx="4">
                  <c:v>11534</c:v>
                </c:pt>
                <c:pt idx="5">
                  <c:v>28416</c:v>
                </c:pt>
                <c:pt idx="6">
                  <c:v>5283</c:v>
                </c:pt>
                <c:pt idx="7">
                  <c:v>6014</c:v>
                </c:pt>
                <c:pt idx="8">
                  <c:v>120</c:v>
                </c:pt>
                <c:pt idx="9">
                  <c:v>76</c:v>
                </c:pt>
                <c:pt idx="10">
                  <c:v>336570</c:v>
                </c:pt>
                <c:pt idx="11">
                  <c:v>5395</c:v>
                </c:pt>
                <c:pt idx="12">
                  <c:v>700</c:v>
                </c:pt>
                <c:pt idx="13">
                  <c:v>23908</c:v>
                </c:pt>
                <c:pt idx="14">
                  <c:v>20332</c:v>
                </c:pt>
                <c:pt idx="15">
                  <c:v>34748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5-4721-B700-33A7DB7E6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'18'!$AD$6:$AD$27</c:f>
              <c:strCache>
                <c:ptCount val="22"/>
                <c:pt idx="0">
                  <c:v>0%</c:v>
                </c:pt>
                <c:pt idx="1">
                  <c:v>71%</c:v>
                </c:pt>
                <c:pt idx="2">
                  <c:v>21%</c:v>
                </c:pt>
                <c:pt idx="3">
                  <c:v>83%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8%</c:v>
                </c:pt>
                <c:pt idx="13">
                  <c:v>100%</c:v>
                </c:pt>
                <c:pt idx="14">
                  <c:v>0%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'18'!$AD$6:$AD$27</c:f>
              <c:numCache>
                <c:formatCode>0%</c:formatCode>
                <c:ptCount val="22"/>
                <c:pt idx="0">
                  <c:v>0</c:v>
                </c:pt>
                <c:pt idx="1">
                  <c:v>0.70833333333333337</c:v>
                </c:pt>
                <c:pt idx="2">
                  <c:v>0.20833333333333334</c:v>
                </c:pt>
                <c:pt idx="3">
                  <c:v>0.83333333333333337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8.3333333333333329E-2</c:v>
                </c:pt>
                <c:pt idx="13">
                  <c:v>1</c:v>
                </c:pt>
                <c:pt idx="14">
                  <c:v>0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5-4798-9FCE-32BBBE19C8D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15-4798-9FCE-32BBBE19C8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8">
                  <c:v>UNDER BASE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'18'!$AE$6:$AE$27</c:f>
              <c:numCache>
                <c:formatCode>0%</c:formatCode>
                <c:ptCount val="22"/>
                <c:pt idx="0">
                  <c:v>0.38257575757575757</c:v>
                </c:pt>
                <c:pt idx="1">
                  <c:v>0.38257575757575757</c:v>
                </c:pt>
                <c:pt idx="2">
                  <c:v>0.38257575757575757</c:v>
                </c:pt>
                <c:pt idx="3">
                  <c:v>0.38257575757575757</c:v>
                </c:pt>
                <c:pt idx="4">
                  <c:v>0.38257575757575757</c:v>
                </c:pt>
                <c:pt idx="5">
                  <c:v>0.38257575757575757</c:v>
                </c:pt>
                <c:pt idx="6">
                  <c:v>0.38257575757575757</c:v>
                </c:pt>
                <c:pt idx="7">
                  <c:v>0.38257575757575757</c:v>
                </c:pt>
                <c:pt idx="8">
                  <c:v>0.38257575757575757</c:v>
                </c:pt>
                <c:pt idx="9">
                  <c:v>0.38257575757575757</c:v>
                </c:pt>
                <c:pt idx="10">
                  <c:v>0.38257575757575757</c:v>
                </c:pt>
                <c:pt idx="11">
                  <c:v>0.38257575757575757</c:v>
                </c:pt>
                <c:pt idx="12">
                  <c:v>0.38257575757575757</c:v>
                </c:pt>
                <c:pt idx="13">
                  <c:v>0.38257575757575757</c:v>
                </c:pt>
                <c:pt idx="14">
                  <c:v>0.38257575757575757</c:v>
                </c:pt>
                <c:pt idx="15">
                  <c:v>0.38257575757575757</c:v>
                </c:pt>
                <c:pt idx="16">
                  <c:v>0.38257575757575757</c:v>
                </c:pt>
                <c:pt idx="17">
                  <c:v>0.38257575757575757</c:v>
                </c:pt>
                <c:pt idx="18">
                  <c:v>0.38257575757575757</c:v>
                </c:pt>
                <c:pt idx="19">
                  <c:v>0.38257575757575757</c:v>
                </c:pt>
                <c:pt idx="20">
                  <c:v>0.38257575757575757</c:v>
                </c:pt>
                <c:pt idx="21">
                  <c:v>0.38257575757575757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5-4798-9FCE-32BBBE19C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F37-4B7A-98ED-130936A699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7-4B7A-98ED-130936A69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F37-4B7A-98ED-130936A699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37-4B7A-98ED-130936A69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'19'!$L$6:$L$27</c:f>
              <c:numCache>
                <c:formatCode>_(* #,##0_);_(* \(#,##0\);_(* "-"_);_(@_)</c:formatCode>
                <c:ptCount val="22"/>
                <c:pt idx="2">
                  <c:v>2634</c:v>
                </c:pt>
                <c:pt idx="3">
                  <c:v>11594</c:v>
                </c:pt>
                <c:pt idx="4">
                  <c:v>5829</c:v>
                </c:pt>
                <c:pt idx="5">
                  <c:v>32796</c:v>
                </c:pt>
                <c:pt idx="6">
                  <c:v>5335</c:v>
                </c:pt>
                <c:pt idx="7">
                  <c:v>6382</c:v>
                </c:pt>
                <c:pt idx="8">
                  <c:v>5266</c:v>
                </c:pt>
                <c:pt idx="10">
                  <c:v>336810</c:v>
                </c:pt>
                <c:pt idx="12">
                  <c:v>1154</c:v>
                </c:pt>
                <c:pt idx="15">
                  <c:v>57176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6-4C62-843C-39221446E45D}"/>
            </c:ext>
          </c:extLst>
        </c:ser>
        <c:ser>
          <c:idx val="1"/>
          <c:order val="1"/>
          <c:tx>
            <c:v>계획</c:v>
          </c:tx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3406</c:v>
                </c:pt>
                <c:pt idx="2">
                  <c:v>2634</c:v>
                </c:pt>
                <c:pt idx="3">
                  <c:v>11594</c:v>
                </c:pt>
                <c:pt idx="4">
                  <c:v>5829</c:v>
                </c:pt>
                <c:pt idx="5">
                  <c:v>32796</c:v>
                </c:pt>
                <c:pt idx="6">
                  <c:v>5335</c:v>
                </c:pt>
                <c:pt idx="7">
                  <c:v>6382</c:v>
                </c:pt>
                <c:pt idx="8">
                  <c:v>5266</c:v>
                </c:pt>
                <c:pt idx="9">
                  <c:v>76</c:v>
                </c:pt>
                <c:pt idx="10">
                  <c:v>336810</c:v>
                </c:pt>
                <c:pt idx="11">
                  <c:v>5395</c:v>
                </c:pt>
                <c:pt idx="12">
                  <c:v>1154</c:v>
                </c:pt>
                <c:pt idx="13">
                  <c:v>23908</c:v>
                </c:pt>
                <c:pt idx="14">
                  <c:v>20332</c:v>
                </c:pt>
                <c:pt idx="15">
                  <c:v>57176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6-4C62-843C-39221446E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88%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17%</c:v>
                </c:pt>
                <c:pt idx="13">
                  <c:v>0%</c:v>
                </c:pt>
                <c:pt idx="14">
                  <c:v>0%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0.875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6-4F38-A51D-DDE39923342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D6-4F38-A51D-DDE3992334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'19'!$AE$6:$AE$27</c:f>
              <c:numCache>
                <c:formatCode>0%</c:formatCode>
                <c:ptCount val="22"/>
                <c:pt idx="0">
                  <c:v>0.37310606060606061</c:v>
                </c:pt>
                <c:pt idx="1">
                  <c:v>0.37310606060606061</c:v>
                </c:pt>
                <c:pt idx="2">
                  <c:v>0.37310606060606061</c:v>
                </c:pt>
                <c:pt idx="3">
                  <c:v>0.37310606060606061</c:v>
                </c:pt>
                <c:pt idx="4">
                  <c:v>0.37310606060606061</c:v>
                </c:pt>
                <c:pt idx="5">
                  <c:v>0.37310606060606061</c:v>
                </c:pt>
                <c:pt idx="6">
                  <c:v>0.37310606060606061</c:v>
                </c:pt>
                <c:pt idx="7">
                  <c:v>0.37310606060606061</c:v>
                </c:pt>
                <c:pt idx="8">
                  <c:v>0.37310606060606061</c:v>
                </c:pt>
                <c:pt idx="9">
                  <c:v>0.37310606060606061</c:v>
                </c:pt>
                <c:pt idx="10">
                  <c:v>0.37310606060606061</c:v>
                </c:pt>
                <c:pt idx="11">
                  <c:v>0.37310606060606061</c:v>
                </c:pt>
                <c:pt idx="12">
                  <c:v>0.37310606060606061</c:v>
                </c:pt>
                <c:pt idx="13">
                  <c:v>0.37310606060606061</c:v>
                </c:pt>
                <c:pt idx="14">
                  <c:v>0.37310606060606061</c:v>
                </c:pt>
                <c:pt idx="15">
                  <c:v>0.37310606060606061</c:v>
                </c:pt>
                <c:pt idx="16">
                  <c:v>0.37310606060606061</c:v>
                </c:pt>
                <c:pt idx="17">
                  <c:v>0.37310606060606061</c:v>
                </c:pt>
                <c:pt idx="18">
                  <c:v>0.37310606060606061</c:v>
                </c:pt>
                <c:pt idx="19">
                  <c:v>0.37310606060606061</c:v>
                </c:pt>
                <c:pt idx="20">
                  <c:v>0.37310606060606061</c:v>
                </c:pt>
                <c:pt idx="21">
                  <c:v>0.37310606060606061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6-4F38-A51D-DDE39923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'19'!$L$6:$L$27</c:f>
              <c:numCache>
                <c:formatCode>_(* #,##0_);_(* \(#,##0\);_(* "-"_);_(@_)</c:formatCode>
                <c:ptCount val="22"/>
                <c:pt idx="2">
                  <c:v>2634</c:v>
                </c:pt>
                <c:pt idx="3">
                  <c:v>11594</c:v>
                </c:pt>
                <c:pt idx="4">
                  <c:v>5829</c:v>
                </c:pt>
                <c:pt idx="5">
                  <c:v>32796</c:v>
                </c:pt>
                <c:pt idx="6">
                  <c:v>5335</c:v>
                </c:pt>
                <c:pt idx="7">
                  <c:v>6382</c:v>
                </c:pt>
                <c:pt idx="8">
                  <c:v>5266</c:v>
                </c:pt>
                <c:pt idx="10">
                  <c:v>336810</c:v>
                </c:pt>
                <c:pt idx="12">
                  <c:v>1154</c:v>
                </c:pt>
                <c:pt idx="15">
                  <c:v>57176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9-41FA-9B96-623182472B9B}"/>
            </c:ext>
          </c:extLst>
        </c:ser>
        <c:ser>
          <c:idx val="1"/>
          <c:order val="1"/>
          <c:tx>
            <c:v>계획</c:v>
          </c:tx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'19'!$J$6:$J$27</c:f>
              <c:numCache>
                <c:formatCode>_(* #,##0_);_(* \(#,##0\);_(* "-"_);_(@_)</c:formatCode>
                <c:ptCount val="22"/>
                <c:pt idx="0">
                  <c:v>2794</c:v>
                </c:pt>
                <c:pt idx="1">
                  <c:v>3406</c:v>
                </c:pt>
                <c:pt idx="2">
                  <c:v>2634</c:v>
                </c:pt>
                <c:pt idx="3">
                  <c:v>11594</c:v>
                </c:pt>
                <c:pt idx="4">
                  <c:v>5829</c:v>
                </c:pt>
                <c:pt idx="5">
                  <c:v>32796</c:v>
                </c:pt>
                <c:pt idx="6">
                  <c:v>5335</c:v>
                </c:pt>
                <c:pt idx="7">
                  <c:v>6382</c:v>
                </c:pt>
                <c:pt idx="8">
                  <c:v>5266</c:v>
                </c:pt>
                <c:pt idx="9">
                  <c:v>76</c:v>
                </c:pt>
                <c:pt idx="10">
                  <c:v>336810</c:v>
                </c:pt>
                <c:pt idx="11">
                  <c:v>5395</c:v>
                </c:pt>
                <c:pt idx="12">
                  <c:v>1154</c:v>
                </c:pt>
                <c:pt idx="13">
                  <c:v>23908</c:v>
                </c:pt>
                <c:pt idx="14">
                  <c:v>20332</c:v>
                </c:pt>
                <c:pt idx="15">
                  <c:v>57176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26768</c:v>
                </c:pt>
                <c:pt idx="20">
                  <c:v>26944</c:v>
                </c:pt>
                <c:pt idx="21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B9-41FA-9B96-623182472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88%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17%</c:v>
                </c:pt>
                <c:pt idx="13">
                  <c:v>0%</c:v>
                </c:pt>
                <c:pt idx="14">
                  <c:v>0%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0.875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F-4FA9-9794-A15F737012A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F-4FA9-9794-A15F737012A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'19'!$D$6:$D$27</c:f>
              <c:strCache>
                <c:ptCount val="22"/>
                <c:pt idx="1">
                  <c:v>ADAPTER</c:v>
                </c:pt>
                <c:pt idx="2">
                  <c:v>BASE</c:v>
                </c:pt>
                <c:pt idx="3">
                  <c:v>STOPPER</c:v>
                </c:pt>
                <c:pt idx="4">
                  <c:v>COVER</c:v>
                </c:pt>
                <c:pt idx="6">
                  <c:v>BASE</c:v>
                </c:pt>
                <c:pt idx="7">
                  <c:v>STOPPER</c:v>
                </c:pt>
                <c:pt idx="9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'19'!$AE$6:$AE$27</c:f>
              <c:numCache>
                <c:formatCode>0%</c:formatCode>
                <c:ptCount val="22"/>
                <c:pt idx="0">
                  <c:v>0.37310606060606061</c:v>
                </c:pt>
                <c:pt idx="1">
                  <c:v>0.37310606060606061</c:v>
                </c:pt>
                <c:pt idx="2">
                  <c:v>0.37310606060606061</c:v>
                </c:pt>
                <c:pt idx="3">
                  <c:v>0.37310606060606061</c:v>
                </c:pt>
                <c:pt idx="4">
                  <c:v>0.37310606060606061</c:v>
                </c:pt>
                <c:pt idx="5">
                  <c:v>0.37310606060606061</c:v>
                </c:pt>
                <c:pt idx="6">
                  <c:v>0.37310606060606061</c:v>
                </c:pt>
                <c:pt idx="7">
                  <c:v>0.37310606060606061</c:v>
                </c:pt>
                <c:pt idx="8">
                  <c:v>0.37310606060606061</c:v>
                </c:pt>
                <c:pt idx="9">
                  <c:v>0.37310606060606061</c:v>
                </c:pt>
                <c:pt idx="10">
                  <c:v>0.37310606060606061</c:v>
                </c:pt>
                <c:pt idx="11">
                  <c:v>0.37310606060606061</c:v>
                </c:pt>
                <c:pt idx="12">
                  <c:v>0.37310606060606061</c:v>
                </c:pt>
                <c:pt idx="13">
                  <c:v>0.37310606060606061</c:v>
                </c:pt>
                <c:pt idx="14">
                  <c:v>0.37310606060606061</c:v>
                </c:pt>
                <c:pt idx="15">
                  <c:v>0.37310606060606061</c:v>
                </c:pt>
                <c:pt idx="16">
                  <c:v>0.37310606060606061</c:v>
                </c:pt>
                <c:pt idx="17">
                  <c:v>0.37310606060606061</c:v>
                </c:pt>
                <c:pt idx="18">
                  <c:v>0.37310606060606061</c:v>
                </c:pt>
                <c:pt idx="19">
                  <c:v>0.37310606060606061</c:v>
                </c:pt>
                <c:pt idx="20">
                  <c:v>0.37310606060606061</c:v>
                </c:pt>
                <c:pt idx="21">
                  <c:v>0.37310606060606061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F-4FA9-9794-A15F7370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EEF-4575-9558-4103A64ADD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F-4575-9558-4103A64AD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EEF-4575-9558-4103A64ADD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EF-4575-9558-4103A64AD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'20'!$L$6:$L$29</c:f>
              <c:numCache>
                <c:formatCode>_(* #,##0_);_(* \(#,##0\);_(* "-"_);_(@_)</c:formatCode>
                <c:ptCount val="24"/>
                <c:pt idx="0">
                  <c:v>1665</c:v>
                </c:pt>
                <c:pt idx="1">
                  <c:v>2663</c:v>
                </c:pt>
                <c:pt idx="2">
                  <c:v>8280</c:v>
                </c:pt>
                <c:pt idx="3">
                  <c:v>2761</c:v>
                </c:pt>
                <c:pt idx="4">
                  <c:v>995</c:v>
                </c:pt>
                <c:pt idx="5">
                  <c:v>1277</c:v>
                </c:pt>
                <c:pt idx="6">
                  <c:v>500</c:v>
                </c:pt>
                <c:pt idx="7">
                  <c:v>32864</c:v>
                </c:pt>
                <c:pt idx="8">
                  <c:v>5351</c:v>
                </c:pt>
                <c:pt idx="9">
                  <c:v>6362</c:v>
                </c:pt>
                <c:pt idx="10">
                  <c:v>6132</c:v>
                </c:pt>
                <c:pt idx="12">
                  <c:v>345570</c:v>
                </c:pt>
                <c:pt idx="14">
                  <c:v>7776</c:v>
                </c:pt>
                <c:pt idx="15">
                  <c:v>1002</c:v>
                </c:pt>
                <c:pt idx="17">
                  <c:v>64908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D-4F2E-9C0B-7225029191BB}"/>
            </c:ext>
          </c:extLst>
        </c:ser>
        <c:ser>
          <c:idx val="1"/>
          <c:order val="1"/>
          <c:tx>
            <c:v>계획</c:v>
          </c:tx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'20'!$J$6:$J$29</c:f>
              <c:numCache>
                <c:formatCode>_(* #,##0_);_(* \(#,##0\);_(* "-"_);_(@_)</c:formatCode>
                <c:ptCount val="24"/>
                <c:pt idx="0">
                  <c:v>1665</c:v>
                </c:pt>
                <c:pt idx="1">
                  <c:v>2663</c:v>
                </c:pt>
                <c:pt idx="2">
                  <c:v>8280</c:v>
                </c:pt>
                <c:pt idx="3">
                  <c:v>2761</c:v>
                </c:pt>
                <c:pt idx="4">
                  <c:v>995</c:v>
                </c:pt>
                <c:pt idx="5">
                  <c:v>1277</c:v>
                </c:pt>
                <c:pt idx="6">
                  <c:v>500</c:v>
                </c:pt>
                <c:pt idx="7">
                  <c:v>32864</c:v>
                </c:pt>
                <c:pt idx="8">
                  <c:v>5351</c:v>
                </c:pt>
                <c:pt idx="9">
                  <c:v>6362</c:v>
                </c:pt>
                <c:pt idx="10">
                  <c:v>6132</c:v>
                </c:pt>
                <c:pt idx="11">
                  <c:v>76</c:v>
                </c:pt>
                <c:pt idx="12">
                  <c:v>345570</c:v>
                </c:pt>
                <c:pt idx="13">
                  <c:v>5395</c:v>
                </c:pt>
                <c:pt idx="14">
                  <c:v>7776</c:v>
                </c:pt>
                <c:pt idx="15">
                  <c:v>1002</c:v>
                </c:pt>
                <c:pt idx="16">
                  <c:v>20332</c:v>
                </c:pt>
                <c:pt idx="17">
                  <c:v>64908</c:v>
                </c:pt>
                <c:pt idx="18">
                  <c:v>0</c:v>
                </c:pt>
                <c:pt idx="19">
                  <c:v>0</c:v>
                </c:pt>
                <c:pt idx="20">
                  <c:v>28124</c:v>
                </c:pt>
                <c:pt idx="21">
                  <c:v>26768</c:v>
                </c:pt>
                <c:pt idx="22">
                  <c:v>26944</c:v>
                </c:pt>
                <c:pt idx="23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D-4F2E-9C0B-72250291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'20'!$AD$6:$AD$29</c:f>
              <c:strCache>
                <c:ptCount val="24"/>
                <c:pt idx="0">
                  <c:v>33%</c:v>
                </c:pt>
                <c:pt idx="1">
                  <c:v>75%</c:v>
                </c:pt>
                <c:pt idx="2">
                  <c:v>88%</c:v>
                </c:pt>
                <c:pt idx="3">
                  <c:v>75%</c:v>
                </c:pt>
                <c:pt idx="4">
                  <c:v>21%</c:v>
                </c:pt>
                <c:pt idx="5">
                  <c:v>29%</c:v>
                </c:pt>
                <c:pt idx="6">
                  <c:v>17%</c:v>
                </c:pt>
                <c:pt idx="7">
                  <c:v>100%</c:v>
                </c:pt>
                <c:pt idx="8">
                  <c:v>100%</c:v>
                </c:pt>
                <c:pt idx="9">
                  <c:v>100%</c:v>
                </c:pt>
                <c:pt idx="10">
                  <c:v>92%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92%</c:v>
                </c:pt>
                <c:pt idx="15">
                  <c:v>17%</c:v>
                </c:pt>
                <c:pt idx="16">
                  <c:v>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'20'!$AD$6:$AD$29</c:f>
              <c:numCache>
                <c:formatCode>0%</c:formatCode>
                <c:ptCount val="24"/>
                <c:pt idx="0">
                  <c:v>0.33333333333333331</c:v>
                </c:pt>
                <c:pt idx="1">
                  <c:v>0.75</c:v>
                </c:pt>
                <c:pt idx="2">
                  <c:v>0.875</c:v>
                </c:pt>
                <c:pt idx="3">
                  <c:v>0.75</c:v>
                </c:pt>
                <c:pt idx="4">
                  <c:v>0.20833333333333334</c:v>
                </c:pt>
                <c:pt idx="5">
                  <c:v>0.29166666666666669</c:v>
                </c:pt>
                <c:pt idx="6">
                  <c:v>0.16666666666666666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0.91666666666666663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0.16666666666666666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4-45CB-9737-14B88F5777F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F4-45CB-9737-14B88F5777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'20'!$AE$6:$AE$29</c:f>
              <c:numCache>
                <c:formatCode>0%</c:formatCode>
                <c:ptCount val="24"/>
                <c:pt idx="0">
                  <c:v>0.43229166666666669</c:v>
                </c:pt>
                <c:pt idx="1">
                  <c:v>0.43229166666666669</c:v>
                </c:pt>
                <c:pt idx="2">
                  <c:v>0.43229166666666669</c:v>
                </c:pt>
                <c:pt idx="3">
                  <c:v>0.43229166666666669</c:v>
                </c:pt>
                <c:pt idx="4">
                  <c:v>0.43229166666666669</c:v>
                </c:pt>
                <c:pt idx="5">
                  <c:v>0.43229166666666669</c:v>
                </c:pt>
                <c:pt idx="6">
                  <c:v>0.43229166666666669</c:v>
                </c:pt>
                <c:pt idx="7">
                  <c:v>0.43229166666666669</c:v>
                </c:pt>
                <c:pt idx="8">
                  <c:v>0.43229166666666669</c:v>
                </c:pt>
                <c:pt idx="9">
                  <c:v>0.43229166666666669</c:v>
                </c:pt>
                <c:pt idx="10">
                  <c:v>0.43229166666666669</c:v>
                </c:pt>
                <c:pt idx="11">
                  <c:v>0.43229166666666669</c:v>
                </c:pt>
                <c:pt idx="12">
                  <c:v>0.43229166666666669</c:v>
                </c:pt>
                <c:pt idx="13">
                  <c:v>0.43229166666666669</c:v>
                </c:pt>
                <c:pt idx="14">
                  <c:v>0.43229166666666669</c:v>
                </c:pt>
                <c:pt idx="15">
                  <c:v>0.43229166666666669</c:v>
                </c:pt>
                <c:pt idx="16">
                  <c:v>0.43229166666666669</c:v>
                </c:pt>
                <c:pt idx="17">
                  <c:v>0.43229166666666669</c:v>
                </c:pt>
                <c:pt idx="18">
                  <c:v>0.43229166666666669</c:v>
                </c:pt>
                <c:pt idx="19">
                  <c:v>0.43229166666666669</c:v>
                </c:pt>
                <c:pt idx="20">
                  <c:v>0.43229166666666669</c:v>
                </c:pt>
                <c:pt idx="21">
                  <c:v>0.43229166666666669</c:v>
                </c:pt>
                <c:pt idx="22">
                  <c:v>0.43229166666666669</c:v>
                </c:pt>
                <c:pt idx="23">
                  <c:v>0.43229166666666669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F4-45CB-9737-14B88F57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'20'!$L$6:$L$29</c:f>
              <c:numCache>
                <c:formatCode>_(* #,##0_);_(* \(#,##0\);_(* "-"_);_(@_)</c:formatCode>
                <c:ptCount val="24"/>
                <c:pt idx="0">
                  <c:v>1665</c:v>
                </c:pt>
                <c:pt idx="1">
                  <c:v>2663</c:v>
                </c:pt>
                <c:pt idx="2">
                  <c:v>8280</c:v>
                </c:pt>
                <c:pt idx="3">
                  <c:v>2761</c:v>
                </c:pt>
                <c:pt idx="4">
                  <c:v>995</c:v>
                </c:pt>
                <c:pt idx="5">
                  <c:v>1277</c:v>
                </c:pt>
                <c:pt idx="6">
                  <c:v>500</c:v>
                </c:pt>
                <c:pt idx="7">
                  <c:v>32864</c:v>
                </c:pt>
                <c:pt idx="8">
                  <c:v>5351</c:v>
                </c:pt>
                <c:pt idx="9">
                  <c:v>6362</c:v>
                </c:pt>
                <c:pt idx="10">
                  <c:v>6132</c:v>
                </c:pt>
                <c:pt idx="12">
                  <c:v>345570</c:v>
                </c:pt>
                <c:pt idx="14">
                  <c:v>7776</c:v>
                </c:pt>
                <c:pt idx="15">
                  <c:v>1002</c:v>
                </c:pt>
                <c:pt idx="17">
                  <c:v>64908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5-41AE-9893-D023DC2E2F15}"/>
            </c:ext>
          </c:extLst>
        </c:ser>
        <c:ser>
          <c:idx val="1"/>
          <c:order val="1"/>
          <c:tx>
            <c:v>계획</c:v>
          </c:tx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'20'!$J$6:$J$29</c:f>
              <c:numCache>
                <c:formatCode>_(* #,##0_);_(* \(#,##0\);_(* "-"_);_(@_)</c:formatCode>
                <c:ptCount val="24"/>
                <c:pt idx="0">
                  <c:v>1665</c:v>
                </c:pt>
                <c:pt idx="1">
                  <c:v>2663</c:v>
                </c:pt>
                <c:pt idx="2">
                  <c:v>8280</c:v>
                </c:pt>
                <c:pt idx="3">
                  <c:v>2761</c:v>
                </c:pt>
                <c:pt idx="4">
                  <c:v>995</c:v>
                </c:pt>
                <c:pt idx="5">
                  <c:v>1277</c:v>
                </c:pt>
                <c:pt idx="6">
                  <c:v>500</c:v>
                </c:pt>
                <c:pt idx="7">
                  <c:v>32864</c:v>
                </c:pt>
                <c:pt idx="8">
                  <c:v>5351</c:v>
                </c:pt>
                <c:pt idx="9">
                  <c:v>6362</c:v>
                </c:pt>
                <c:pt idx="10">
                  <c:v>6132</c:v>
                </c:pt>
                <c:pt idx="11">
                  <c:v>76</c:v>
                </c:pt>
                <c:pt idx="12">
                  <c:v>345570</c:v>
                </c:pt>
                <c:pt idx="13">
                  <c:v>5395</c:v>
                </c:pt>
                <c:pt idx="14">
                  <c:v>7776</c:v>
                </c:pt>
                <c:pt idx="15">
                  <c:v>1002</c:v>
                </c:pt>
                <c:pt idx="16">
                  <c:v>20332</c:v>
                </c:pt>
                <c:pt idx="17">
                  <c:v>64908</c:v>
                </c:pt>
                <c:pt idx="18">
                  <c:v>0</c:v>
                </c:pt>
                <c:pt idx="19">
                  <c:v>0</c:v>
                </c:pt>
                <c:pt idx="20">
                  <c:v>28124</c:v>
                </c:pt>
                <c:pt idx="21">
                  <c:v>26768</c:v>
                </c:pt>
                <c:pt idx="22">
                  <c:v>26944</c:v>
                </c:pt>
                <c:pt idx="23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5-41AE-9893-D023DC2E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'20'!$AD$6:$AD$29</c:f>
              <c:strCache>
                <c:ptCount val="24"/>
                <c:pt idx="0">
                  <c:v>33%</c:v>
                </c:pt>
                <c:pt idx="1">
                  <c:v>75%</c:v>
                </c:pt>
                <c:pt idx="2">
                  <c:v>88%</c:v>
                </c:pt>
                <c:pt idx="3">
                  <c:v>75%</c:v>
                </c:pt>
                <c:pt idx="4">
                  <c:v>21%</c:v>
                </c:pt>
                <c:pt idx="5">
                  <c:v>29%</c:v>
                </c:pt>
                <c:pt idx="6">
                  <c:v>17%</c:v>
                </c:pt>
                <c:pt idx="7">
                  <c:v>100%</c:v>
                </c:pt>
                <c:pt idx="8">
                  <c:v>100%</c:v>
                </c:pt>
                <c:pt idx="9">
                  <c:v>100%</c:v>
                </c:pt>
                <c:pt idx="10">
                  <c:v>92%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92%</c:v>
                </c:pt>
                <c:pt idx="15">
                  <c:v>17%</c:v>
                </c:pt>
                <c:pt idx="16">
                  <c:v>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'20'!$AD$6:$AD$29</c:f>
              <c:numCache>
                <c:formatCode>0%</c:formatCode>
                <c:ptCount val="24"/>
                <c:pt idx="0">
                  <c:v>0.33333333333333331</c:v>
                </c:pt>
                <c:pt idx="1">
                  <c:v>0.75</c:v>
                </c:pt>
                <c:pt idx="2">
                  <c:v>0.875</c:v>
                </c:pt>
                <c:pt idx="3">
                  <c:v>0.75</c:v>
                </c:pt>
                <c:pt idx="4">
                  <c:v>0.20833333333333334</c:v>
                </c:pt>
                <c:pt idx="5">
                  <c:v>0.29166666666666669</c:v>
                </c:pt>
                <c:pt idx="6">
                  <c:v>0.16666666666666666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0.91666666666666663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0.16666666666666666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0-4B26-81AC-7DE5F30D1C7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40-4B26-81AC-7DE5F30D1C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'20'!$D$6:$D$29</c:f>
              <c:strCache>
                <c:ptCount val="24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COVER</c:v>
                </c:pt>
                <c:pt idx="5">
                  <c:v>COVER</c:v>
                </c:pt>
                <c:pt idx="6">
                  <c:v>COVER</c:v>
                </c:pt>
                <c:pt idx="8">
                  <c:v>BASE</c:v>
                </c:pt>
                <c:pt idx="9">
                  <c:v>STOPPER</c:v>
                </c:pt>
                <c:pt idx="11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LATCH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'20'!$AE$6:$AE$29</c:f>
              <c:numCache>
                <c:formatCode>0%</c:formatCode>
                <c:ptCount val="24"/>
                <c:pt idx="0">
                  <c:v>0.43229166666666669</c:v>
                </c:pt>
                <c:pt idx="1">
                  <c:v>0.43229166666666669</c:v>
                </c:pt>
                <c:pt idx="2">
                  <c:v>0.43229166666666669</c:v>
                </c:pt>
                <c:pt idx="3">
                  <c:v>0.43229166666666669</c:v>
                </c:pt>
                <c:pt idx="4">
                  <c:v>0.43229166666666669</c:v>
                </c:pt>
                <c:pt idx="5">
                  <c:v>0.43229166666666669</c:v>
                </c:pt>
                <c:pt idx="6">
                  <c:v>0.43229166666666669</c:v>
                </c:pt>
                <c:pt idx="7">
                  <c:v>0.43229166666666669</c:v>
                </c:pt>
                <c:pt idx="8">
                  <c:v>0.43229166666666669</c:v>
                </c:pt>
                <c:pt idx="9">
                  <c:v>0.43229166666666669</c:v>
                </c:pt>
                <c:pt idx="10">
                  <c:v>0.43229166666666669</c:v>
                </c:pt>
                <c:pt idx="11">
                  <c:v>0.43229166666666669</c:v>
                </c:pt>
                <c:pt idx="12">
                  <c:v>0.43229166666666669</c:v>
                </c:pt>
                <c:pt idx="13">
                  <c:v>0.43229166666666669</c:v>
                </c:pt>
                <c:pt idx="14">
                  <c:v>0.43229166666666669</c:v>
                </c:pt>
                <c:pt idx="15">
                  <c:v>0.43229166666666669</c:v>
                </c:pt>
                <c:pt idx="16">
                  <c:v>0.43229166666666669</c:v>
                </c:pt>
                <c:pt idx="17">
                  <c:v>0.43229166666666669</c:v>
                </c:pt>
                <c:pt idx="18">
                  <c:v>0.43229166666666669</c:v>
                </c:pt>
                <c:pt idx="19">
                  <c:v>0.43229166666666669</c:v>
                </c:pt>
                <c:pt idx="20">
                  <c:v>0.43229166666666669</c:v>
                </c:pt>
                <c:pt idx="21">
                  <c:v>0.43229166666666669</c:v>
                </c:pt>
                <c:pt idx="22">
                  <c:v>0.43229166666666669</c:v>
                </c:pt>
                <c:pt idx="23">
                  <c:v>0.43229166666666669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40-4B26-81AC-7DE5F30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4A9-4353-8697-A17688F75E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9-4353-8697-A17688F75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A9-4353-8697-A17688F75E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9-4353-8697-A17688F75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'21'!$L$6:$L$28</c:f>
              <c:numCache>
                <c:formatCode>_(* #,##0_);_(* \(#,##0\);_(* "-"_);_(@_)</c:formatCode>
                <c:ptCount val="23"/>
                <c:pt idx="0">
                  <c:v>5300</c:v>
                </c:pt>
                <c:pt idx="2">
                  <c:v>9294</c:v>
                </c:pt>
                <c:pt idx="3">
                  <c:v>4556</c:v>
                </c:pt>
                <c:pt idx="4">
                  <c:v>8462</c:v>
                </c:pt>
                <c:pt idx="5">
                  <c:v>29416</c:v>
                </c:pt>
                <c:pt idx="6">
                  <c:v>3987</c:v>
                </c:pt>
                <c:pt idx="7">
                  <c:v>5997</c:v>
                </c:pt>
                <c:pt idx="9">
                  <c:v>4832</c:v>
                </c:pt>
                <c:pt idx="10">
                  <c:v>328410</c:v>
                </c:pt>
                <c:pt idx="12">
                  <c:v>5004</c:v>
                </c:pt>
                <c:pt idx="13">
                  <c:v>1600</c:v>
                </c:pt>
                <c:pt idx="14">
                  <c:v>1678</c:v>
                </c:pt>
                <c:pt idx="16">
                  <c:v>60896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5-4D53-8385-A44D1C73EDF2}"/>
            </c:ext>
          </c:extLst>
        </c:ser>
        <c:ser>
          <c:idx val="1"/>
          <c:order val="1"/>
          <c:tx>
            <c:v>계획</c:v>
          </c:tx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'21'!$J$6:$J$28</c:f>
              <c:numCache>
                <c:formatCode>_(* #,##0_);_(* \(#,##0\);_(* "-"_);_(@_)</c:formatCode>
                <c:ptCount val="23"/>
                <c:pt idx="0">
                  <c:v>5300</c:v>
                </c:pt>
                <c:pt idx="1">
                  <c:v>2663</c:v>
                </c:pt>
                <c:pt idx="2">
                  <c:v>9294</c:v>
                </c:pt>
                <c:pt idx="3">
                  <c:v>4556</c:v>
                </c:pt>
                <c:pt idx="4">
                  <c:v>8462</c:v>
                </c:pt>
                <c:pt idx="5">
                  <c:v>29416</c:v>
                </c:pt>
                <c:pt idx="6">
                  <c:v>3987</c:v>
                </c:pt>
                <c:pt idx="7">
                  <c:v>5997</c:v>
                </c:pt>
                <c:pt idx="8">
                  <c:v>6132</c:v>
                </c:pt>
                <c:pt idx="9">
                  <c:v>4832</c:v>
                </c:pt>
                <c:pt idx="10">
                  <c:v>328410</c:v>
                </c:pt>
                <c:pt idx="11">
                  <c:v>5395</c:v>
                </c:pt>
                <c:pt idx="12">
                  <c:v>5004</c:v>
                </c:pt>
                <c:pt idx="13">
                  <c:v>1600</c:v>
                </c:pt>
                <c:pt idx="14">
                  <c:v>1678</c:v>
                </c:pt>
                <c:pt idx="15">
                  <c:v>20332</c:v>
                </c:pt>
                <c:pt idx="16">
                  <c:v>60896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5-4D53-8385-A44D1C73E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'21'!$AD$6:$AD$28</c:f>
              <c:strCache>
                <c:ptCount val="23"/>
                <c:pt idx="0">
                  <c:v>29%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92%</c:v>
                </c:pt>
                <c:pt idx="5">
                  <c:v>100%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46%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21%</c:v>
                </c:pt>
                <c:pt idx="14">
                  <c:v>21%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'21'!$AD$6:$AD$28</c:f>
              <c:numCache>
                <c:formatCode>0%</c:formatCode>
                <c:ptCount val="23"/>
                <c:pt idx="0">
                  <c:v>0.29166666666666669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0.91666666666666663</c:v>
                </c:pt>
                <c:pt idx="5">
                  <c:v>1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0.45833333333333331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C-41A9-8635-745B62846C5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0C-41A9-8635-745B62846C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'21'!$AE$6:$AE$28</c:f>
              <c:numCache>
                <c:formatCode>0%</c:formatCode>
                <c:ptCount val="23"/>
                <c:pt idx="0">
                  <c:v>0.40217391304347827</c:v>
                </c:pt>
                <c:pt idx="1">
                  <c:v>0.40217391304347827</c:v>
                </c:pt>
                <c:pt idx="2">
                  <c:v>0.40217391304347827</c:v>
                </c:pt>
                <c:pt idx="3">
                  <c:v>0.40217391304347827</c:v>
                </c:pt>
                <c:pt idx="4">
                  <c:v>0.40217391304347827</c:v>
                </c:pt>
                <c:pt idx="5">
                  <c:v>0.40217391304347827</c:v>
                </c:pt>
                <c:pt idx="6">
                  <c:v>0.40217391304347827</c:v>
                </c:pt>
                <c:pt idx="7">
                  <c:v>0.40217391304347827</c:v>
                </c:pt>
                <c:pt idx="8">
                  <c:v>0.40217391304347827</c:v>
                </c:pt>
                <c:pt idx="9">
                  <c:v>0.40217391304347827</c:v>
                </c:pt>
                <c:pt idx="10">
                  <c:v>0.40217391304347827</c:v>
                </c:pt>
                <c:pt idx="11">
                  <c:v>0.40217391304347827</c:v>
                </c:pt>
                <c:pt idx="12">
                  <c:v>0.40217391304347827</c:v>
                </c:pt>
                <c:pt idx="13">
                  <c:v>0.40217391304347827</c:v>
                </c:pt>
                <c:pt idx="14">
                  <c:v>0.40217391304347827</c:v>
                </c:pt>
                <c:pt idx="15">
                  <c:v>0.40217391304347827</c:v>
                </c:pt>
                <c:pt idx="16">
                  <c:v>0.40217391304347827</c:v>
                </c:pt>
                <c:pt idx="17">
                  <c:v>0.40217391304347827</c:v>
                </c:pt>
                <c:pt idx="18">
                  <c:v>0.40217391304347827</c:v>
                </c:pt>
                <c:pt idx="19">
                  <c:v>0.40217391304347827</c:v>
                </c:pt>
                <c:pt idx="20">
                  <c:v>0.40217391304347827</c:v>
                </c:pt>
                <c:pt idx="21">
                  <c:v>0.40217391304347827</c:v>
                </c:pt>
                <c:pt idx="22">
                  <c:v>0.40217391304347827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C-41A9-8635-745B62846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'21'!$L$6:$L$28</c:f>
              <c:numCache>
                <c:formatCode>_(* #,##0_);_(* \(#,##0\);_(* "-"_);_(@_)</c:formatCode>
                <c:ptCount val="23"/>
                <c:pt idx="0">
                  <c:v>5300</c:v>
                </c:pt>
                <c:pt idx="2">
                  <c:v>9294</c:v>
                </c:pt>
                <c:pt idx="3">
                  <c:v>4556</c:v>
                </c:pt>
                <c:pt idx="4">
                  <c:v>8462</c:v>
                </c:pt>
                <c:pt idx="5">
                  <c:v>29416</c:v>
                </c:pt>
                <c:pt idx="6">
                  <c:v>3987</c:v>
                </c:pt>
                <c:pt idx="7">
                  <c:v>5997</c:v>
                </c:pt>
                <c:pt idx="9">
                  <c:v>4832</c:v>
                </c:pt>
                <c:pt idx="10">
                  <c:v>328410</c:v>
                </c:pt>
                <c:pt idx="12">
                  <c:v>5004</c:v>
                </c:pt>
                <c:pt idx="13">
                  <c:v>1600</c:v>
                </c:pt>
                <c:pt idx="14">
                  <c:v>1678</c:v>
                </c:pt>
                <c:pt idx="16">
                  <c:v>60896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8-413F-88DF-6F81BBF20796}"/>
            </c:ext>
          </c:extLst>
        </c:ser>
        <c:ser>
          <c:idx val="1"/>
          <c:order val="1"/>
          <c:tx>
            <c:v>계획</c:v>
          </c:tx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'21'!$J$6:$J$28</c:f>
              <c:numCache>
                <c:formatCode>_(* #,##0_);_(* \(#,##0\);_(* "-"_);_(@_)</c:formatCode>
                <c:ptCount val="23"/>
                <c:pt idx="0">
                  <c:v>5300</c:v>
                </c:pt>
                <c:pt idx="1">
                  <c:v>2663</c:v>
                </c:pt>
                <c:pt idx="2">
                  <c:v>9294</c:v>
                </c:pt>
                <c:pt idx="3">
                  <c:v>4556</c:v>
                </c:pt>
                <c:pt idx="4">
                  <c:v>8462</c:v>
                </c:pt>
                <c:pt idx="5">
                  <c:v>29416</c:v>
                </c:pt>
                <c:pt idx="6">
                  <c:v>3987</c:v>
                </c:pt>
                <c:pt idx="7">
                  <c:v>5997</c:v>
                </c:pt>
                <c:pt idx="8">
                  <c:v>6132</c:v>
                </c:pt>
                <c:pt idx="9">
                  <c:v>4832</c:v>
                </c:pt>
                <c:pt idx="10">
                  <c:v>328410</c:v>
                </c:pt>
                <c:pt idx="11">
                  <c:v>5395</c:v>
                </c:pt>
                <c:pt idx="12">
                  <c:v>5004</c:v>
                </c:pt>
                <c:pt idx="13">
                  <c:v>1600</c:v>
                </c:pt>
                <c:pt idx="14">
                  <c:v>1678</c:v>
                </c:pt>
                <c:pt idx="15">
                  <c:v>20332</c:v>
                </c:pt>
                <c:pt idx="16">
                  <c:v>60896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8-413F-88DF-6F81BBF20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'21'!$AD$6:$AD$28</c:f>
              <c:strCache>
                <c:ptCount val="23"/>
                <c:pt idx="0">
                  <c:v>29%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92%</c:v>
                </c:pt>
                <c:pt idx="5">
                  <c:v>100%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46%</c:v>
                </c:pt>
                <c:pt idx="10">
                  <c:v>100%</c:v>
                </c:pt>
                <c:pt idx="11">
                  <c:v>0%</c:v>
                </c:pt>
                <c:pt idx="12">
                  <c:v>33%</c:v>
                </c:pt>
                <c:pt idx="13">
                  <c:v>21%</c:v>
                </c:pt>
                <c:pt idx="14">
                  <c:v>21%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'21'!$AD$6:$AD$28</c:f>
              <c:numCache>
                <c:formatCode>0%</c:formatCode>
                <c:ptCount val="23"/>
                <c:pt idx="0">
                  <c:v>0.29166666666666669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0.91666666666666663</c:v>
                </c:pt>
                <c:pt idx="5">
                  <c:v>1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0.45833333333333331</c:v>
                </c:pt>
                <c:pt idx="10">
                  <c:v>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6-4CDD-848E-2B8B4E8828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26-4CDD-848E-2B8B4E8828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6">
                  <c:v>BASE</c:v>
                </c:pt>
                <c:pt idx="7">
                  <c:v>STOPPER</c:v>
                </c:pt>
                <c:pt idx="9">
                  <c:v>ADAPTER</c:v>
                </c:pt>
                <c:pt idx="11">
                  <c:v>ADAPTER</c:v>
                </c:pt>
                <c:pt idx="12">
                  <c:v>COVER</c:v>
                </c:pt>
                <c:pt idx="13">
                  <c:v>LATCH</c:v>
                </c:pt>
                <c:pt idx="14">
                  <c:v>LATCH PLATE</c:v>
                </c:pt>
                <c:pt idx="15">
                  <c:v>ACTUATOR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'21'!$AE$6:$AE$28</c:f>
              <c:numCache>
                <c:formatCode>0%</c:formatCode>
                <c:ptCount val="23"/>
                <c:pt idx="0">
                  <c:v>0.40217391304347827</c:v>
                </c:pt>
                <c:pt idx="1">
                  <c:v>0.40217391304347827</c:v>
                </c:pt>
                <c:pt idx="2">
                  <c:v>0.40217391304347827</c:v>
                </c:pt>
                <c:pt idx="3">
                  <c:v>0.40217391304347827</c:v>
                </c:pt>
                <c:pt idx="4">
                  <c:v>0.40217391304347827</c:v>
                </c:pt>
                <c:pt idx="5">
                  <c:v>0.40217391304347827</c:v>
                </c:pt>
                <c:pt idx="6">
                  <c:v>0.40217391304347827</c:v>
                </c:pt>
                <c:pt idx="7">
                  <c:v>0.40217391304347827</c:v>
                </c:pt>
                <c:pt idx="8">
                  <c:v>0.40217391304347827</c:v>
                </c:pt>
                <c:pt idx="9">
                  <c:v>0.40217391304347827</c:v>
                </c:pt>
                <c:pt idx="10">
                  <c:v>0.40217391304347827</c:v>
                </c:pt>
                <c:pt idx="11">
                  <c:v>0.40217391304347827</c:v>
                </c:pt>
                <c:pt idx="12">
                  <c:v>0.40217391304347827</c:v>
                </c:pt>
                <c:pt idx="13">
                  <c:v>0.40217391304347827</c:v>
                </c:pt>
                <c:pt idx="14">
                  <c:v>0.40217391304347827</c:v>
                </c:pt>
                <c:pt idx="15">
                  <c:v>0.40217391304347827</c:v>
                </c:pt>
                <c:pt idx="16">
                  <c:v>0.40217391304347827</c:v>
                </c:pt>
                <c:pt idx="17">
                  <c:v>0.40217391304347827</c:v>
                </c:pt>
                <c:pt idx="18">
                  <c:v>0.40217391304347827</c:v>
                </c:pt>
                <c:pt idx="19">
                  <c:v>0.40217391304347827</c:v>
                </c:pt>
                <c:pt idx="20">
                  <c:v>0.40217391304347827</c:v>
                </c:pt>
                <c:pt idx="21">
                  <c:v>0.40217391304347827</c:v>
                </c:pt>
                <c:pt idx="22">
                  <c:v>0.40217391304347827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26-4CDD-848E-2B8B4E882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C3-4601-A6FC-EB709F7CCF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3-4601-A6FC-EB709F7CC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BC3-4601-A6FC-EB709F7CCF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3-4601-A6FC-EB709F7CC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'23'!$L$6:$L$29</c:f>
              <c:numCache>
                <c:formatCode>_(* #,##0_);_(* \(#,##0\);_(* "-"_);_(@_)</c:formatCode>
                <c:ptCount val="24"/>
                <c:pt idx="1">
                  <c:v>8898</c:v>
                </c:pt>
                <c:pt idx="2">
                  <c:v>578</c:v>
                </c:pt>
                <c:pt idx="3">
                  <c:v>899</c:v>
                </c:pt>
                <c:pt idx="4">
                  <c:v>1196</c:v>
                </c:pt>
                <c:pt idx="5">
                  <c:v>7548</c:v>
                </c:pt>
                <c:pt idx="6">
                  <c:v>9820</c:v>
                </c:pt>
                <c:pt idx="7">
                  <c:v>5672</c:v>
                </c:pt>
                <c:pt idx="8">
                  <c:v>5016</c:v>
                </c:pt>
                <c:pt idx="9">
                  <c:v>6082</c:v>
                </c:pt>
                <c:pt idx="10">
                  <c:v>0</c:v>
                </c:pt>
                <c:pt idx="12">
                  <c:v>239650</c:v>
                </c:pt>
                <c:pt idx="14">
                  <c:v>2884</c:v>
                </c:pt>
                <c:pt idx="17">
                  <c:v>57820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95-4F46-85DE-E28BD2A974FC}"/>
            </c:ext>
          </c:extLst>
        </c:ser>
        <c:ser>
          <c:idx val="1"/>
          <c:order val="1"/>
          <c:tx>
            <c:v>계획</c:v>
          </c:tx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'23'!$J$6:$J$29</c:f>
              <c:numCache>
                <c:formatCode>_(* #,##0_);_(* \(#,##0\);_(* "-"_);_(@_)</c:formatCode>
                <c:ptCount val="24"/>
                <c:pt idx="0">
                  <c:v>5300</c:v>
                </c:pt>
                <c:pt idx="1">
                  <c:v>8898</c:v>
                </c:pt>
                <c:pt idx="2">
                  <c:v>578</c:v>
                </c:pt>
                <c:pt idx="3">
                  <c:v>899</c:v>
                </c:pt>
                <c:pt idx="4">
                  <c:v>1196</c:v>
                </c:pt>
                <c:pt idx="5">
                  <c:v>7548</c:v>
                </c:pt>
                <c:pt idx="6">
                  <c:v>9820</c:v>
                </c:pt>
                <c:pt idx="7">
                  <c:v>5672</c:v>
                </c:pt>
                <c:pt idx="8">
                  <c:v>5016</c:v>
                </c:pt>
                <c:pt idx="9">
                  <c:v>6082</c:v>
                </c:pt>
                <c:pt idx="10">
                  <c:v>6132</c:v>
                </c:pt>
                <c:pt idx="11">
                  <c:v>4832</c:v>
                </c:pt>
                <c:pt idx="12">
                  <c:v>239650</c:v>
                </c:pt>
                <c:pt idx="13">
                  <c:v>5395</c:v>
                </c:pt>
                <c:pt idx="14">
                  <c:v>2834</c:v>
                </c:pt>
                <c:pt idx="15">
                  <c:v>1678</c:v>
                </c:pt>
                <c:pt idx="16">
                  <c:v>20332</c:v>
                </c:pt>
                <c:pt idx="17">
                  <c:v>57820</c:v>
                </c:pt>
                <c:pt idx="18">
                  <c:v>0</c:v>
                </c:pt>
                <c:pt idx="19">
                  <c:v>0</c:v>
                </c:pt>
                <c:pt idx="20">
                  <c:v>28124</c:v>
                </c:pt>
                <c:pt idx="21">
                  <c:v>26768</c:v>
                </c:pt>
                <c:pt idx="22">
                  <c:v>26944</c:v>
                </c:pt>
                <c:pt idx="23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95-4F46-85DE-E28BD2A9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'23'!$AD$6:$AD$29</c:f>
              <c:strCache>
                <c:ptCount val="24"/>
                <c:pt idx="0">
                  <c:v>0%</c:v>
                </c:pt>
                <c:pt idx="1">
                  <c:v>83%</c:v>
                </c:pt>
                <c:pt idx="2">
                  <c:v>13%</c:v>
                </c:pt>
                <c:pt idx="3">
                  <c:v>21%</c:v>
                </c:pt>
                <c:pt idx="4">
                  <c:v>29%</c:v>
                </c:pt>
                <c:pt idx="5">
                  <c:v>67%</c:v>
                </c:pt>
                <c:pt idx="6">
                  <c:v>100%</c:v>
                </c:pt>
                <c:pt idx="7">
                  <c:v>96%</c:v>
                </c:pt>
                <c:pt idx="8">
                  <c:v>100%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64%</c:v>
                </c:pt>
                <c:pt idx="15">
                  <c:v>0%</c:v>
                </c:pt>
                <c:pt idx="16">
                  <c:v>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'23'!$AD$6:$AD$29</c:f>
              <c:numCache>
                <c:formatCode>0%</c:formatCode>
                <c:ptCount val="24"/>
                <c:pt idx="0">
                  <c:v>0</c:v>
                </c:pt>
                <c:pt idx="1">
                  <c:v>0.83333333333333337</c:v>
                </c:pt>
                <c:pt idx="2">
                  <c:v>0.125</c:v>
                </c:pt>
                <c:pt idx="3">
                  <c:v>0.20833333333333334</c:v>
                </c:pt>
                <c:pt idx="4">
                  <c:v>0.29166666666666669</c:v>
                </c:pt>
                <c:pt idx="5">
                  <c:v>0.66666666666666663</c:v>
                </c:pt>
                <c:pt idx="6">
                  <c:v>1</c:v>
                </c:pt>
                <c:pt idx="7">
                  <c:v>0.95833333333333337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0.63602681721947774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F-4E10-8B6B-C771F20521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7F-4E10-8B6B-C771F20521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'23'!$AE$6:$AE$29</c:f>
              <c:numCache>
                <c:formatCode>0%</c:formatCode>
                <c:ptCount val="24"/>
                <c:pt idx="0">
                  <c:v>0.36330667293970048</c:v>
                </c:pt>
                <c:pt idx="1">
                  <c:v>0.36330667293970048</c:v>
                </c:pt>
                <c:pt idx="2">
                  <c:v>0.36330667293970048</c:v>
                </c:pt>
                <c:pt idx="3">
                  <c:v>0.36330667293970048</c:v>
                </c:pt>
                <c:pt idx="4">
                  <c:v>0.36330667293970048</c:v>
                </c:pt>
                <c:pt idx="5">
                  <c:v>0.36330667293970048</c:v>
                </c:pt>
                <c:pt idx="6">
                  <c:v>0.36330667293970048</c:v>
                </c:pt>
                <c:pt idx="7">
                  <c:v>0.36330667293970048</c:v>
                </c:pt>
                <c:pt idx="8">
                  <c:v>0.36330667293970048</c:v>
                </c:pt>
                <c:pt idx="9">
                  <c:v>0.36330667293970048</c:v>
                </c:pt>
                <c:pt idx="10">
                  <c:v>0.36330667293970048</c:v>
                </c:pt>
                <c:pt idx="11">
                  <c:v>0.36330667293970048</c:v>
                </c:pt>
                <c:pt idx="12">
                  <c:v>0.36330667293970048</c:v>
                </c:pt>
                <c:pt idx="13">
                  <c:v>0.36330667293970048</c:v>
                </c:pt>
                <c:pt idx="14">
                  <c:v>0.36330667293970048</c:v>
                </c:pt>
                <c:pt idx="15">
                  <c:v>0.36330667293970048</c:v>
                </c:pt>
                <c:pt idx="16">
                  <c:v>0.36330667293970048</c:v>
                </c:pt>
                <c:pt idx="17">
                  <c:v>0.36330667293970048</c:v>
                </c:pt>
                <c:pt idx="18">
                  <c:v>0.36330667293970048</c:v>
                </c:pt>
                <c:pt idx="19">
                  <c:v>0.36330667293970048</c:v>
                </c:pt>
                <c:pt idx="20">
                  <c:v>0.36330667293970048</c:v>
                </c:pt>
                <c:pt idx="21">
                  <c:v>0.36330667293970048</c:v>
                </c:pt>
                <c:pt idx="22">
                  <c:v>0.36330667293970048</c:v>
                </c:pt>
                <c:pt idx="23">
                  <c:v>0.36330667293970048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7F-4E10-8B6B-C771F205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'23'!$L$6:$L$29</c:f>
              <c:numCache>
                <c:formatCode>_(* #,##0_);_(* \(#,##0\);_(* "-"_);_(@_)</c:formatCode>
                <c:ptCount val="24"/>
                <c:pt idx="1">
                  <c:v>8898</c:v>
                </c:pt>
                <c:pt idx="2">
                  <c:v>578</c:v>
                </c:pt>
                <c:pt idx="3">
                  <c:v>899</c:v>
                </c:pt>
                <c:pt idx="4">
                  <c:v>1196</c:v>
                </c:pt>
                <c:pt idx="5">
                  <c:v>7548</c:v>
                </c:pt>
                <c:pt idx="6">
                  <c:v>9820</c:v>
                </c:pt>
                <c:pt idx="7">
                  <c:v>5672</c:v>
                </c:pt>
                <c:pt idx="8">
                  <c:v>5016</c:v>
                </c:pt>
                <c:pt idx="9">
                  <c:v>6082</c:v>
                </c:pt>
                <c:pt idx="10">
                  <c:v>0</c:v>
                </c:pt>
                <c:pt idx="12">
                  <c:v>239650</c:v>
                </c:pt>
                <c:pt idx="14">
                  <c:v>2884</c:v>
                </c:pt>
                <c:pt idx="17">
                  <c:v>57820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0-4CA1-BA94-E5438B25D4D3}"/>
            </c:ext>
          </c:extLst>
        </c:ser>
        <c:ser>
          <c:idx val="1"/>
          <c:order val="1"/>
          <c:tx>
            <c:v>계획</c:v>
          </c:tx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'23'!$J$6:$J$29</c:f>
              <c:numCache>
                <c:formatCode>_(* #,##0_);_(* \(#,##0\);_(* "-"_);_(@_)</c:formatCode>
                <c:ptCount val="24"/>
                <c:pt idx="0">
                  <c:v>5300</c:v>
                </c:pt>
                <c:pt idx="1">
                  <c:v>8898</c:v>
                </c:pt>
                <c:pt idx="2">
                  <c:v>578</c:v>
                </c:pt>
                <c:pt idx="3">
                  <c:v>899</c:v>
                </c:pt>
                <c:pt idx="4">
                  <c:v>1196</c:v>
                </c:pt>
                <c:pt idx="5">
                  <c:v>7548</c:v>
                </c:pt>
                <c:pt idx="6">
                  <c:v>9820</c:v>
                </c:pt>
                <c:pt idx="7">
                  <c:v>5672</c:v>
                </c:pt>
                <c:pt idx="8">
                  <c:v>5016</c:v>
                </c:pt>
                <c:pt idx="9">
                  <c:v>6082</c:v>
                </c:pt>
                <c:pt idx="10">
                  <c:v>6132</c:v>
                </c:pt>
                <c:pt idx="11">
                  <c:v>4832</c:v>
                </c:pt>
                <c:pt idx="12">
                  <c:v>239650</c:v>
                </c:pt>
                <c:pt idx="13">
                  <c:v>5395</c:v>
                </c:pt>
                <c:pt idx="14">
                  <c:v>2834</c:v>
                </c:pt>
                <c:pt idx="15">
                  <c:v>1678</c:v>
                </c:pt>
                <c:pt idx="16">
                  <c:v>20332</c:v>
                </c:pt>
                <c:pt idx="17">
                  <c:v>57820</c:v>
                </c:pt>
                <c:pt idx="18">
                  <c:v>0</c:v>
                </c:pt>
                <c:pt idx="19">
                  <c:v>0</c:v>
                </c:pt>
                <c:pt idx="20">
                  <c:v>28124</c:v>
                </c:pt>
                <c:pt idx="21">
                  <c:v>26768</c:v>
                </c:pt>
                <c:pt idx="22">
                  <c:v>26944</c:v>
                </c:pt>
                <c:pt idx="23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0-4CA1-BA94-E5438B25D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'23'!$AD$6:$AD$29</c:f>
              <c:strCache>
                <c:ptCount val="24"/>
                <c:pt idx="0">
                  <c:v>0%</c:v>
                </c:pt>
                <c:pt idx="1">
                  <c:v>83%</c:v>
                </c:pt>
                <c:pt idx="2">
                  <c:v>13%</c:v>
                </c:pt>
                <c:pt idx="3">
                  <c:v>21%</c:v>
                </c:pt>
                <c:pt idx="4">
                  <c:v>29%</c:v>
                </c:pt>
                <c:pt idx="5">
                  <c:v>67%</c:v>
                </c:pt>
                <c:pt idx="6">
                  <c:v>100%</c:v>
                </c:pt>
                <c:pt idx="7">
                  <c:v>96%</c:v>
                </c:pt>
                <c:pt idx="8">
                  <c:v>100%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64%</c:v>
                </c:pt>
                <c:pt idx="15">
                  <c:v>0%</c:v>
                </c:pt>
                <c:pt idx="16">
                  <c:v>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'23'!$AD$6:$AD$29</c:f>
              <c:numCache>
                <c:formatCode>0%</c:formatCode>
                <c:ptCount val="24"/>
                <c:pt idx="0">
                  <c:v>0</c:v>
                </c:pt>
                <c:pt idx="1">
                  <c:v>0.83333333333333337</c:v>
                </c:pt>
                <c:pt idx="2">
                  <c:v>0.125</c:v>
                </c:pt>
                <c:pt idx="3">
                  <c:v>0.20833333333333334</c:v>
                </c:pt>
                <c:pt idx="4">
                  <c:v>0.29166666666666669</c:v>
                </c:pt>
                <c:pt idx="5">
                  <c:v>0.66666666666666663</c:v>
                </c:pt>
                <c:pt idx="6">
                  <c:v>1</c:v>
                </c:pt>
                <c:pt idx="7">
                  <c:v>0.95833333333333337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0.63602681721947774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1-4CEB-B56A-0F206EF0383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C1-4CEB-B56A-0F206EF038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3">
                  <c:v>BASE</c:v>
                </c:pt>
                <c:pt idx="4">
                  <c:v>BASE</c:v>
                </c:pt>
                <c:pt idx="7">
                  <c:v>LEAD GUIDER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ADAPTER</c:v>
                </c:pt>
                <c:pt idx="14">
                  <c:v>LID/PUSHER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'23'!$AE$6:$AE$29</c:f>
              <c:numCache>
                <c:formatCode>0%</c:formatCode>
                <c:ptCount val="24"/>
                <c:pt idx="0">
                  <c:v>0.36330667293970048</c:v>
                </c:pt>
                <c:pt idx="1">
                  <c:v>0.36330667293970048</c:v>
                </c:pt>
                <c:pt idx="2">
                  <c:v>0.36330667293970048</c:v>
                </c:pt>
                <c:pt idx="3">
                  <c:v>0.36330667293970048</c:v>
                </c:pt>
                <c:pt idx="4">
                  <c:v>0.36330667293970048</c:v>
                </c:pt>
                <c:pt idx="5">
                  <c:v>0.36330667293970048</c:v>
                </c:pt>
                <c:pt idx="6">
                  <c:v>0.36330667293970048</c:v>
                </c:pt>
                <c:pt idx="7">
                  <c:v>0.36330667293970048</c:v>
                </c:pt>
                <c:pt idx="8">
                  <c:v>0.36330667293970048</c:v>
                </c:pt>
                <c:pt idx="9">
                  <c:v>0.36330667293970048</c:v>
                </c:pt>
                <c:pt idx="10">
                  <c:v>0.36330667293970048</c:v>
                </c:pt>
                <c:pt idx="11">
                  <c:v>0.36330667293970048</c:v>
                </c:pt>
                <c:pt idx="12">
                  <c:v>0.36330667293970048</c:v>
                </c:pt>
                <c:pt idx="13">
                  <c:v>0.36330667293970048</c:v>
                </c:pt>
                <c:pt idx="14">
                  <c:v>0.36330667293970048</c:v>
                </c:pt>
                <c:pt idx="15">
                  <c:v>0.36330667293970048</c:v>
                </c:pt>
                <c:pt idx="16">
                  <c:v>0.36330667293970048</c:v>
                </c:pt>
                <c:pt idx="17">
                  <c:v>0.36330667293970048</c:v>
                </c:pt>
                <c:pt idx="18">
                  <c:v>0.36330667293970048</c:v>
                </c:pt>
                <c:pt idx="19">
                  <c:v>0.36330667293970048</c:v>
                </c:pt>
                <c:pt idx="20">
                  <c:v>0.36330667293970048</c:v>
                </c:pt>
                <c:pt idx="21">
                  <c:v>0.36330667293970048</c:v>
                </c:pt>
                <c:pt idx="22">
                  <c:v>0.36330667293970048</c:v>
                </c:pt>
                <c:pt idx="23">
                  <c:v>0.36330667293970048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1-4CEB-B56A-0F206EF03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277-415F-AA21-6FC683172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7-415F-AA21-6FC683172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277-415F-AA21-6FC6831728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7-415F-AA21-6FC683172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'24'!$L$6:$L$29</c:f>
              <c:numCache>
                <c:formatCode>_(* #,##0_);_(* \(#,##0\);_(* "-"_);_(@_)</c:formatCode>
                <c:ptCount val="24"/>
                <c:pt idx="1">
                  <c:v>11520</c:v>
                </c:pt>
                <c:pt idx="2">
                  <c:v>1269</c:v>
                </c:pt>
                <c:pt idx="3">
                  <c:v>752</c:v>
                </c:pt>
                <c:pt idx="4">
                  <c:v>11534</c:v>
                </c:pt>
                <c:pt idx="5">
                  <c:v>9820</c:v>
                </c:pt>
                <c:pt idx="6">
                  <c:v>1640</c:v>
                </c:pt>
                <c:pt idx="7">
                  <c:v>500</c:v>
                </c:pt>
                <c:pt idx="8">
                  <c:v>5288</c:v>
                </c:pt>
                <c:pt idx="9">
                  <c:v>6286</c:v>
                </c:pt>
                <c:pt idx="12">
                  <c:v>10730</c:v>
                </c:pt>
                <c:pt idx="13">
                  <c:v>7542</c:v>
                </c:pt>
                <c:pt idx="14">
                  <c:v>143</c:v>
                </c:pt>
                <c:pt idx="15">
                  <c:v>1768</c:v>
                </c:pt>
                <c:pt idx="17">
                  <c:v>63964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C-4D23-ACFA-47D34334BD1E}"/>
            </c:ext>
          </c:extLst>
        </c:ser>
        <c:ser>
          <c:idx val="1"/>
          <c:order val="1"/>
          <c:tx>
            <c:v>계획</c:v>
          </c:tx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'24'!$J$6:$J$29</c:f>
              <c:numCache>
                <c:formatCode>_(* #,##0_);_(* \(#,##0\);_(* "-"_);_(@_)</c:formatCode>
                <c:ptCount val="24"/>
                <c:pt idx="0">
                  <c:v>5300</c:v>
                </c:pt>
                <c:pt idx="1">
                  <c:v>11520</c:v>
                </c:pt>
                <c:pt idx="2">
                  <c:v>1269</c:v>
                </c:pt>
                <c:pt idx="3">
                  <c:v>752</c:v>
                </c:pt>
                <c:pt idx="4">
                  <c:v>11534</c:v>
                </c:pt>
                <c:pt idx="5">
                  <c:v>9820</c:v>
                </c:pt>
                <c:pt idx="6">
                  <c:v>1640</c:v>
                </c:pt>
                <c:pt idx="7">
                  <c:v>500</c:v>
                </c:pt>
                <c:pt idx="8">
                  <c:v>5288</c:v>
                </c:pt>
                <c:pt idx="9">
                  <c:v>6286</c:v>
                </c:pt>
                <c:pt idx="10">
                  <c:v>6132</c:v>
                </c:pt>
                <c:pt idx="11">
                  <c:v>4832</c:v>
                </c:pt>
                <c:pt idx="12">
                  <c:v>10730</c:v>
                </c:pt>
                <c:pt idx="13">
                  <c:v>7542</c:v>
                </c:pt>
                <c:pt idx="14">
                  <c:v>143</c:v>
                </c:pt>
                <c:pt idx="15">
                  <c:v>1768</c:v>
                </c:pt>
                <c:pt idx="16">
                  <c:v>20332</c:v>
                </c:pt>
                <c:pt idx="17">
                  <c:v>63964</c:v>
                </c:pt>
                <c:pt idx="18">
                  <c:v>0</c:v>
                </c:pt>
                <c:pt idx="19">
                  <c:v>0</c:v>
                </c:pt>
                <c:pt idx="20">
                  <c:v>28124</c:v>
                </c:pt>
                <c:pt idx="21">
                  <c:v>26768</c:v>
                </c:pt>
                <c:pt idx="22">
                  <c:v>26944</c:v>
                </c:pt>
                <c:pt idx="23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C-4D23-ACFA-47D34334B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'24'!$AD$6:$AD$29</c:f>
              <c:strCache>
                <c:ptCount val="24"/>
                <c:pt idx="0">
                  <c:v>0%</c:v>
                </c:pt>
                <c:pt idx="1">
                  <c:v>100%</c:v>
                </c:pt>
                <c:pt idx="2">
                  <c:v>29%</c:v>
                </c:pt>
                <c:pt idx="3">
                  <c:v>17%</c:v>
                </c:pt>
                <c:pt idx="4">
                  <c:v>100%</c:v>
                </c:pt>
                <c:pt idx="5">
                  <c:v>100%</c:v>
                </c:pt>
                <c:pt idx="6">
                  <c:v>33%</c:v>
                </c:pt>
                <c:pt idx="7">
                  <c:v>17%</c:v>
                </c:pt>
                <c:pt idx="8">
                  <c:v>100%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75%</c:v>
                </c:pt>
                <c:pt idx="14">
                  <c:v>17%</c:v>
                </c:pt>
                <c:pt idx="15">
                  <c:v>21%</c:v>
                </c:pt>
                <c:pt idx="16">
                  <c:v>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'24'!$AD$6:$AD$29</c:f>
              <c:numCache>
                <c:formatCode>0%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0.29166666666666669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0.33333333333333331</c:v>
                </c:pt>
                <c:pt idx="7">
                  <c:v>0.16666666666666666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0.75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5-42A1-B6D0-13FB18E7EE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C5-42A1-B6D0-13FB18E7EE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'24'!$AE$6:$AE$29</c:f>
              <c:numCache>
                <c:formatCode>0%</c:formatCode>
                <c:ptCount val="24"/>
                <c:pt idx="0">
                  <c:v>0.37673611111111116</c:v>
                </c:pt>
                <c:pt idx="1">
                  <c:v>0.37673611111111116</c:v>
                </c:pt>
                <c:pt idx="2">
                  <c:v>0.37673611111111116</c:v>
                </c:pt>
                <c:pt idx="3">
                  <c:v>0.37673611111111116</c:v>
                </c:pt>
                <c:pt idx="4">
                  <c:v>0.37673611111111116</c:v>
                </c:pt>
                <c:pt idx="5">
                  <c:v>0.37673611111111116</c:v>
                </c:pt>
                <c:pt idx="6">
                  <c:v>0.37673611111111116</c:v>
                </c:pt>
                <c:pt idx="7">
                  <c:v>0.37673611111111116</c:v>
                </c:pt>
                <c:pt idx="8">
                  <c:v>0.37673611111111116</c:v>
                </c:pt>
                <c:pt idx="9">
                  <c:v>0.37673611111111116</c:v>
                </c:pt>
                <c:pt idx="10">
                  <c:v>0.37673611111111116</c:v>
                </c:pt>
                <c:pt idx="11">
                  <c:v>0.37673611111111116</c:v>
                </c:pt>
                <c:pt idx="12">
                  <c:v>0.37673611111111116</c:v>
                </c:pt>
                <c:pt idx="13">
                  <c:v>0.37673611111111116</c:v>
                </c:pt>
                <c:pt idx="14">
                  <c:v>0.37673611111111116</c:v>
                </c:pt>
                <c:pt idx="15">
                  <c:v>0.37673611111111116</c:v>
                </c:pt>
                <c:pt idx="16">
                  <c:v>0.37673611111111116</c:v>
                </c:pt>
                <c:pt idx="17">
                  <c:v>0.37673611111111116</c:v>
                </c:pt>
                <c:pt idx="18">
                  <c:v>0.37673611111111116</c:v>
                </c:pt>
                <c:pt idx="19">
                  <c:v>0.37673611111111116</c:v>
                </c:pt>
                <c:pt idx="20">
                  <c:v>0.37673611111111116</c:v>
                </c:pt>
                <c:pt idx="21">
                  <c:v>0.37673611111111116</c:v>
                </c:pt>
                <c:pt idx="22">
                  <c:v>0.37673611111111116</c:v>
                </c:pt>
                <c:pt idx="23">
                  <c:v>0.37673611111111116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5-42A1-B6D0-13FB18E7E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'24'!$L$6:$L$29</c:f>
              <c:numCache>
                <c:formatCode>_(* #,##0_);_(* \(#,##0\);_(* "-"_);_(@_)</c:formatCode>
                <c:ptCount val="24"/>
                <c:pt idx="1">
                  <c:v>11520</c:v>
                </c:pt>
                <c:pt idx="2">
                  <c:v>1269</c:v>
                </c:pt>
                <c:pt idx="3">
                  <c:v>752</c:v>
                </c:pt>
                <c:pt idx="4">
                  <c:v>11534</c:v>
                </c:pt>
                <c:pt idx="5">
                  <c:v>9820</c:v>
                </c:pt>
                <c:pt idx="6">
                  <c:v>1640</c:v>
                </c:pt>
                <c:pt idx="7">
                  <c:v>500</c:v>
                </c:pt>
                <c:pt idx="8">
                  <c:v>5288</c:v>
                </c:pt>
                <c:pt idx="9">
                  <c:v>6286</c:v>
                </c:pt>
                <c:pt idx="12">
                  <c:v>10730</c:v>
                </c:pt>
                <c:pt idx="13">
                  <c:v>7542</c:v>
                </c:pt>
                <c:pt idx="14">
                  <c:v>143</c:v>
                </c:pt>
                <c:pt idx="15">
                  <c:v>1768</c:v>
                </c:pt>
                <c:pt idx="17">
                  <c:v>63964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F-426B-9CAF-14C0BD1DE8E7}"/>
            </c:ext>
          </c:extLst>
        </c:ser>
        <c:ser>
          <c:idx val="1"/>
          <c:order val="1"/>
          <c:tx>
            <c:v>계획</c:v>
          </c:tx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'24'!$J$6:$J$29</c:f>
              <c:numCache>
                <c:formatCode>_(* #,##0_);_(* \(#,##0\);_(* "-"_);_(@_)</c:formatCode>
                <c:ptCount val="24"/>
                <c:pt idx="0">
                  <c:v>5300</c:v>
                </c:pt>
                <c:pt idx="1">
                  <c:v>11520</c:v>
                </c:pt>
                <c:pt idx="2">
                  <c:v>1269</c:v>
                </c:pt>
                <c:pt idx="3">
                  <c:v>752</c:v>
                </c:pt>
                <c:pt idx="4">
                  <c:v>11534</c:v>
                </c:pt>
                <c:pt idx="5">
                  <c:v>9820</c:v>
                </c:pt>
                <c:pt idx="6">
                  <c:v>1640</c:v>
                </c:pt>
                <c:pt idx="7">
                  <c:v>500</c:v>
                </c:pt>
                <c:pt idx="8">
                  <c:v>5288</c:v>
                </c:pt>
                <c:pt idx="9">
                  <c:v>6286</c:v>
                </c:pt>
                <c:pt idx="10">
                  <c:v>6132</c:v>
                </c:pt>
                <c:pt idx="11">
                  <c:v>4832</c:v>
                </c:pt>
                <c:pt idx="12">
                  <c:v>10730</c:v>
                </c:pt>
                <c:pt idx="13">
                  <c:v>7542</c:v>
                </c:pt>
                <c:pt idx="14">
                  <c:v>143</c:v>
                </c:pt>
                <c:pt idx="15">
                  <c:v>1768</c:v>
                </c:pt>
                <c:pt idx="16">
                  <c:v>20332</c:v>
                </c:pt>
                <c:pt idx="17">
                  <c:v>63964</c:v>
                </c:pt>
                <c:pt idx="18">
                  <c:v>0</c:v>
                </c:pt>
                <c:pt idx="19">
                  <c:v>0</c:v>
                </c:pt>
                <c:pt idx="20">
                  <c:v>28124</c:v>
                </c:pt>
                <c:pt idx="21">
                  <c:v>26768</c:v>
                </c:pt>
                <c:pt idx="22">
                  <c:v>26944</c:v>
                </c:pt>
                <c:pt idx="23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F-426B-9CAF-14C0BD1DE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'24'!$AD$6:$AD$29</c:f>
              <c:strCache>
                <c:ptCount val="24"/>
                <c:pt idx="0">
                  <c:v>0%</c:v>
                </c:pt>
                <c:pt idx="1">
                  <c:v>100%</c:v>
                </c:pt>
                <c:pt idx="2">
                  <c:v>29%</c:v>
                </c:pt>
                <c:pt idx="3">
                  <c:v>17%</c:v>
                </c:pt>
                <c:pt idx="4">
                  <c:v>100%</c:v>
                </c:pt>
                <c:pt idx="5">
                  <c:v>100%</c:v>
                </c:pt>
                <c:pt idx="6">
                  <c:v>33%</c:v>
                </c:pt>
                <c:pt idx="7">
                  <c:v>17%</c:v>
                </c:pt>
                <c:pt idx="8">
                  <c:v>100%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96%</c:v>
                </c:pt>
                <c:pt idx="13">
                  <c:v>75%</c:v>
                </c:pt>
                <c:pt idx="14">
                  <c:v>17%</c:v>
                </c:pt>
                <c:pt idx="15">
                  <c:v>21%</c:v>
                </c:pt>
                <c:pt idx="16">
                  <c:v>0%</c:v>
                </c:pt>
                <c:pt idx="17">
                  <c:v>100%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'24'!$AD$6:$AD$29</c:f>
              <c:numCache>
                <c:formatCode>0%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0.29166666666666669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  <c:pt idx="6">
                  <c:v>0.33333333333333331</c:v>
                </c:pt>
                <c:pt idx="7">
                  <c:v>0.16666666666666666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0.75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C-4EB9-B573-7FBEAB1F8B7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C-4EB9-B573-7FBEAB1F8B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'24'!$D$6:$D$29</c:f>
              <c:strCache>
                <c:ptCount val="24"/>
                <c:pt idx="0">
                  <c:v>BASE</c:v>
                </c:pt>
                <c:pt idx="1">
                  <c:v>ADAPTER</c:v>
                </c:pt>
                <c:pt idx="3">
                  <c:v>ACTUATOR</c:v>
                </c:pt>
                <c:pt idx="6">
                  <c:v>LEAD GUIDER</c:v>
                </c:pt>
                <c:pt idx="7">
                  <c:v>COVER</c:v>
                </c:pt>
                <c:pt idx="8">
                  <c:v>BASE</c:v>
                </c:pt>
                <c:pt idx="9">
                  <c:v>STOPPER</c:v>
                </c:pt>
                <c:pt idx="10">
                  <c:v>BASE</c:v>
                </c:pt>
                <c:pt idx="11">
                  <c:v>ADAPTER</c:v>
                </c:pt>
                <c:pt idx="13">
                  <c:v>SLIDER</c:v>
                </c:pt>
                <c:pt idx="14">
                  <c:v>BASE</c:v>
                </c:pt>
                <c:pt idx="15">
                  <c:v>LATCH PLATE</c:v>
                </c:pt>
                <c:pt idx="16">
                  <c:v>ACTUATOR</c:v>
                </c:pt>
                <c:pt idx="20">
                  <c:v>LEAD GUIDER</c:v>
                </c:pt>
                <c:pt idx="21">
                  <c:v>SLIDER</c:v>
                </c:pt>
                <c:pt idx="22">
                  <c:v>COVER</c:v>
                </c:pt>
                <c:pt idx="23">
                  <c:v>BASE</c:v>
                </c:pt>
              </c:strCache>
            </c:strRef>
          </c:cat>
          <c:val>
            <c:numRef>
              <c:f>'24'!$AE$6:$AE$29</c:f>
              <c:numCache>
                <c:formatCode>0%</c:formatCode>
                <c:ptCount val="24"/>
                <c:pt idx="0">
                  <c:v>0.37673611111111116</c:v>
                </c:pt>
                <c:pt idx="1">
                  <c:v>0.37673611111111116</c:v>
                </c:pt>
                <c:pt idx="2">
                  <c:v>0.37673611111111116</c:v>
                </c:pt>
                <c:pt idx="3">
                  <c:v>0.37673611111111116</c:v>
                </c:pt>
                <c:pt idx="4">
                  <c:v>0.37673611111111116</c:v>
                </c:pt>
                <c:pt idx="5">
                  <c:v>0.37673611111111116</c:v>
                </c:pt>
                <c:pt idx="6">
                  <c:v>0.37673611111111116</c:v>
                </c:pt>
                <c:pt idx="7">
                  <c:v>0.37673611111111116</c:v>
                </c:pt>
                <c:pt idx="8">
                  <c:v>0.37673611111111116</c:v>
                </c:pt>
                <c:pt idx="9">
                  <c:v>0.37673611111111116</c:v>
                </c:pt>
                <c:pt idx="10">
                  <c:v>0.37673611111111116</c:v>
                </c:pt>
                <c:pt idx="11">
                  <c:v>0.37673611111111116</c:v>
                </c:pt>
                <c:pt idx="12">
                  <c:v>0.37673611111111116</c:v>
                </c:pt>
                <c:pt idx="13">
                  <c:v>0.37673611111111116</c:v>
                </c:pt>
                <c:pt idx="14">
                  <c:v>0.37673611111111116</c:v>
                </c:pt>
                <c:pt idx="15">
                  <c:v>0.37673611111111116</c:v>
                </c:pt>
                <c:pt idx="16">
                  <c:v>0.37673611111111116</c:v>
                </c:pt>
                <c:pt idx="17">
                  <c:v>0.37673611111111116</c:v>
                </c:pt>
                <c:pt idx="18">
                  <c:v>0.37673611111111116</c:v>
                </c:pt>
                <c:pt idx="19">
                  <c:v>0.37673611111111116</c:v>
                </c:pt>
                <c:pt idx="20">
                  <c:v>0.37673611111111116</c:v>
                </c:pt>
                <c:pt idx="21">
                  <c:v>0.37673611111111116</c:v>
                </c:pt>
                <c:pt idx="22">
                  <c:v>0.37673611111111116</c:v>
                </c:pt>
                <c:pt idx="23">
                  <c:v>0.37673611111111116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C-4EB9-B573-7FBEAB1F8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E15-4628-8043-B6BBA6024A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5-4628-8043-B6BBA6024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E15-4628-8043-B6BBA6024A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15-4628-8043-B6BBA6024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'25'!$L$6:$L$28</c:f>
              <c:numCache>
                <c:formatCode>_(* #,##0_);_(* \(#,##0\);_(* "-"_);_(@_)</c:formatCode>
                <c:ptCount val="23"/>
                <c:pt idx="1">
                  <c:v>11558</c:v>
                </c:pt>
                <c:pt idx="2">
                  <c:v>10616</c:v>
                </c:pt>
                <c:pt idx="3">
                  <c:v>11630</c:v>
                </c:pt>
                <c:pt idx="4">
                  <c:v>10676</c:v>
                </c:pt>
                <c:pt idx="5">
                  <c:v>800</c:v>
                </c:pt>
                <c:pt idx="6">
                  <c:v>800</c:v>
                </c:pt>
                <c:pt idx="7">
                  <c:v>5339</c:v>
                </c:pt>
                <c:pt idx="8">
                  <c:v>5812</c:v>
                </c:pt>
                <c:pt idx="11">
                  <c:v>9070</c:v>
                </c:pt>
                <c:pt idx="12">
                  <c:v>7890</c:v>
                </c:pt>
                <c:pt idx="14">
                  <c:v>4233</c:v>
                </c:pt>
                <c:pt idx="15">
                  <c:v>0</c:v>
                </c:pt>
                <c:pt idx="16">
                  <c:v>64184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C-4DB6-BFD7-6B505B9E6B96}"/>
            </c:ext>
          </c:extLst>
        </c:ser>
        <c:ser>
          <c:idx val="1"/>
          <c:order val="1"/>
          <c:tx>
            <c:v>계획</c:v>
          </c:tx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'25'!$J$6:$J$28</c:f>
              <c:numCache>
                <c:formatCode>_(* #,##0_);_(* \(#,##0\);_(* "-"_);_(@_)</c:formatCode>
                <c:ptCount val="23"/>
                <c:pt idx="0">
                  <c:v>5300</c:v>
                </c:pt>
                <c:pt idx="1">
                  <c:v>11558</c:v>
                </c:pt>
                <c:pt idx="2">
                  <c:v>10616</c:v>
                </c:pt>
                <c:pt idx="3">
                  <c:v>11630</c:v>
                </c:pt>
                <c:pt idx="4">
                  <c:v>10676</c:v>
                </c:pt>
                <c:pt idx="5">
                  <c:v>800</c:v>
                </c:pt>
                <c:pt idx="6">
                  <c:v>800</c:v>
                </c:pt>
                <c:pt idx="7">
                  <c:v>5339</c:v>
                </c:pt>
                <c:pt idx="8">
                  <c:v>5812</c:v>
                </c:pt>
                <c:pt idx="9">
                  <c:v>6132</c:v>
                </c:pt>
                <c:pt idx="10">
                  <c:v>4832</c:v>
                </c:pt>
                <c:pt idx="11">
                  <c:v>9070</c:v>
                </c:pt>
                <c:pt idx="12">
                  <c:v>7890</c:v>
                </c:pt>
                <c:pt idx="13">
                  <c:v>143</c:v>
                </c:pt>
                <c:pt idx="14">
                  <c:v>4233</c:v>
                </c:pt>
                <c:pt idx="15">
                  <c:v>20332</c:v>
                </c:pt>
                <c:pt idx="16">
                  <c:v>64184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C-4DB6-BFD7-6B505B9E6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17%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71%</c:v>
                </c:pt>
                <c:pt idx="13">
                  <c:v>0%</c:v>
                </c:pt>
                <c:pt idx="14">
                  <c:v>96%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0.70833333333333337</c:v>
                </c:pt>
                <c:pt idx="13">
                  <c:v>0</c:v>
                </c:pt>
                <c:pt idx="14">
                  <c:v>0.95833333333333337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0-4EAD-87D3-DCDEEE827CB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30-4EAD-87D3-DCDEEE827C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'25'!$AE$6:$AE$28</c:f>
              <c:numCache>
                <c:formatCode>0%</c:formatCode>
                <c:ptCount val="23"/>
                <c:pt idx="0">
                  <c:v>0.42210144927536236</c:v>
                </c:pt>
                <c:pt idx="1">
                  <c:v>0.42210144927536236</c:v>
                </c:pt>
                <c:pt idx="2">
                  <c:v>0.42210144927536236</c:v>
                </c:pt>
                <c:pt idx="3">
                  <c:v>0.42210144927536236</c:v>
                </c:pt>
                <c:pt idx="4">
                  <c:v>0.42210144927536236</c:v>
                </c:pt>
                <c:pt idx="5">
                  <c:v>0.42210144927536236</c:v>
                </c:pt>
                <c:pt idx="6">
                  <c:v>0.42210144927536236</c:v>
                </c:pt>
                <c:pt idx="7">
                  <c:v>0.42210144927536236</c:v>
                </c:pt>
                <c:pt idx="8">
                  <c:v>0.42210144927536236</c:v>
                </c:pt>
                <c:pt idx="9">
                  <c:v>0.42210144927536236</c:v>
                </c:pt>
                <c:pt idx="10">
                  <c:v>0.42210144927536236</c:v>
                </c:pt>
                <c:pt idx="11">
                  <c:v>0.42210144927536236</c:v>
                </c:pt>
                <c:pt idx="12">
                  <c:v>0.42210144927536236</c:v>
                </c:pt>
                <c:pt idx="13">
                  <c:v>0.42210144927536236</c:v>
                </c:pt>
                <c:pt idx="14">
                  <c:v>0.42210144927536236</c:v>
                </c:pt>
                <c:pt idx="15">
                  <c:v>0.42210144927536236</c:v>
                </c:pt>
                <c:pt idx="16">
                  <c:v>0.42210144927536236</c:v>
                </c:pt>
                <c:pt idx="17">
                  <c:v>0.42210144927536236</c:v>
                </c:pt>
                <c:pt idx="18">
                  <c:v>0.42210144927536236</c:v>
                </c:pt>
                <c:pt idx="19">
                  <c:v>0.42210144927536236</c:v>
                </c:pt>
                <c:pt idx="20">
                  <c:v>0.42210144927536236</c:v>
                </c:pt>
                <c:pt idx="21">
                  <c:v>0.42210144927536236</c:v>
                </c:pt>
                <c:pt idx="22">
                  <c:v>0.42210144927536236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0-4EAD-87D3-DCDEEE82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'25'!$L$6:$L$28</c:f>
              <c:numCache>
                <c:formatCode>_(* #,##0_);_(* \(#,##0\);_(* "-"_);_(@_)</c:formatCode>
                <c:ptCount val="23"/>
                <c:pt idx="1">
                  <c:v>11558</c:v>
                </c:pt>
                <c:pt idx="2">
                  <c:v>10616</c:v>
                </c:pt>
                <c:pt idx="3">
                  <c:v>11630</c:v>
                </c:pt>
                <c:pt idx="4">
                  <c:v>10676</c:v>
                </c:pt>
                <c:pt idx="5">
                  <c:v>800</c:v>
                </c:pt>
                <c:pt idx="6">
                  <c:v>800</c:v>
                </c:pt>
                <c:pt idx="7">
                  <c:v>5339</c:v>
                </c:pt>
                <c:pt idx="8">
                  <c:v>5812</c:v>
                </c:pt>
                <c:pt idx="11">
                  <c:v>9070</c:v>
                </c:pt>
                <c:pt idx="12">
                  <c:v>7890</c:v>
                </c:pt>
                <c:pt idx="14">
                  <c:v>4233</c:v>
                </c:pt>
                <c:pt idx="15">
                  <c:v>0</c:v>
                </c:pt>
                <c:pt idx="16">
                  <c:v>64184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5-45EC-85BF-7B83C073B34F}"/>
            </c:ext>
          </c:extLst>
        </c:ser>
        <c:ser>
          <c:idx val="1"/>
          <c:order val="1"/>
          <c:tx>
            <c:v>계획</c:v>
          </c:tx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'25'!$J$6:$J$28</c:f>
              <c:numCache>
                <c:formatCode>_(* #,##0_);_(* \(#,##0\);_(* "-"_);_(@_)</c:formatCode>
                <c:ptCount val="23"/>
                <c:pt idx="0">
                  <c:v>5300</c:v>
                </c:pt>
                <c:pt idx="1">
                  <c:v>11558</c:v>
                </c:pt>
                <c:pt idx="2">
                  <c:v>10616</c:v>
                </c:pt>
                <c:pt idx="3">
                  <c:v>11630</c:v>
                </c:pt>
                <c:pt idx="4">
                  <c:v>10676</c:v>
                </c:pt>
                <c:pt idx="5">
                  <c:v>800</c:v>
                </c:pt>
                <c:pt idx="6">
                  <c:v>800</c:v>
                </c:pt>
                <c:pt idx="7">
                  <c:v>5339</c:v>
                </c:pt>
                <c:pt idx="8">
                  <c:v>5812</c:v>
                </c:pt>
                <c:pt idx="9">
                  <c:v>6132</c:v>
                </c:pt>
                <c:pt idx="10">
                  <c:v>4832</c:v>
                </c:pt>
                <c:pt idx="11">
                  <c:v>9070</c:v>
                </c:pt>
                <c:pt idx="12">
                  <c:v>7890</c:v>
                </c:pt>
                <c:pt idx="13">
                  <c:v>143</c:v>
                </c:pt>
                <c:pt idx="14">
                  <c:v>4233</c:v>
                </c:pt>
                <c:pt idx="15">
                  <c:v>20332</c:v>
                </c:pt>
                <c:pt idx="16">
                  <c:v>64184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5-45EC-85BF-7B83C073B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96%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17%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71%</c:v>
                </c:pt>
                <c:pt idx="13">
                  <c:v>0%</c:v>
                </c:pt>
                <c:pt idx="14">
                  <c:v>96%</c:v>
                </c:pt>
                <c:pt idx="15">
                  <c:v>0%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0.95833333333333337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0.70833333333333337</c:v>
                </c:pt>
                <c:pt idx="13">
                  <c:v>0</c:v>
                </c:pt>
                <c:pt idx="14">
                  <c:v>0.95833333333333337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0-4BF6-A0BA-8F0B2BBE076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C0-4BF6-A0BA-8F0B2BBE07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BASE</c:v>
                </c:pt>
                <c:pt idx="5">
                  <c:v>LEAD GUIDER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'25'!$AE$6:$AE$28</c:f>
              <c:numCache>
                <c:formatCode>0%</c:formatCode>
                <c:ptCount val="23"/>
                <c:pt idx="0">
                  <c:v>0.42210144927536236</c:v>
                </c:pt>
                <c:pt idx="1">
                  <c:v>0.42210144927536236</c:v>
                </c:pt>
                <c:pt idx="2">
                  <c:v>0.42210144927536236</c:v>
                </c:pt>
                <c:pt idx="3">
                  <c:v>0.42210144927536236</c:v>
                </c:pt>
                <c:pt idx="4">
                  <c:v>0.42210144927536236</c:v>
                </c:pt>
                <c:pt idx="5">
                  <c:v>0.42210144927536236</c:v>
                </c:pt>
                <c:pt idx="6">
                  <c:v>0.42210144927536236</c:v>
                </c:pt>
                <c:pt idx="7">
                  <c:v>0.42210144927536236</c:v>
                </c:pt>
                <c:pt idx="8">
                  <c:v>0.42210144927536236</c:v>
                </c:pt>
                <c:pt idx="9">
                  <c:v>0.42210144927536236</c:v>
                </c:pt>
                <c:pt idx="10">
                  <c:v>0.42210144927536236</c:v>
                </c:pt>
                <c:pt idx="11">
                  <c:v>0.42210144927536236</c:v>
                </c:pt>
                <c:pt idx="12">
                  <c:v>0.42210144927536236</c:v>
                </c:pt>
                <c:pt idx="13">
                  <c:v>0.42210144927536236</c:v>
                </c:pt>
                <c:pt idx="14">
                  <c:v>0.42210144927536236</c:v>
                </c:pt>
                <c:pt idx="15">
                  <c:v>0.42210144927536236</c:v>
                </c:pt>
                <c:pt idx="16">
                  <c:v>0.42210144927536236</c:v>
                </c:pt>
                <c:pt idx="17">
                  <c:v>0.42210144927536236</c:v>
                </c:pt>
                <c:pt idx="18">
                  <c:v>0.42210144927536236</c:v>
                </c:pt>
                <c:pt idx="19">
                  <c:v>0.42210144927536236</c:v>
                </c:pt>
                <c:pt idx="20">
                  <c:v>0.42210144927536236</c:v>
                </c:pt>
                <c:pt idx="21">
                  <c:v>0.42210144927536236</c:v>
                </c:pt>
                <c:pt idx="22">
                  <c:v>0.42210144927536236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0-4BF6-A0BA-8F0B2BBE0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C7D-4813-AAE8-20AF210868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D-4813-AAE8-20AF21086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C7D-4813-AAE8-20AF210868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D-4813-AAE8-20AF21086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'26'!$L$6:$L$28</c:f>
              <c:numCache>
                <c:formatCode>_(* #,##0_);_(* \(#,##0\);_(* "-"_);_(@_)</c:formatCode>
                <c:ptCount val="23"/>
                <c:pt idx="1">
                  <c:v>11486</c:v>
                </c:pt>
                <c:pt idx="2">
                  <c:v>3632</c:v>
                </c:pt>
                <c:pt idx="3">
                  <c:v>11548</c:v>
                </c:pt>
                <c:pt idx="4">
                  <c:v>11024</c:v>
                </c:pt>
                <c:pt idx="5">
                  <c:v>800</c:v>
                </c:pt>
                <c:pt idx="6">
                  <c:v>1323</c:v>
                </c:pt>
                <c:pt idx="7">
                  <c:v>5296</c:v>
                </c:pt>
                <c:pt idx="11">
                  <c:v>9850</c:v>
                </c:pt>
                <c:pt idx="14">
                  <c:v>7323</c:v>
                </c:pt>
                <c:pt idx="15">
                  <c:v>2429</c:v>
                </c:pt>
                <c:pt idx="16">
                  <c:v>45828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B-4F7F-9262-A206F9DB1C5C}"/>
            </c:ext>
          </c:extLst>
        </c:ser>
        <c:ser>
          <c:idx val="1"/>
          <c:order val="1"/>
          <c:tx>
            <c:v>계획</c:v>
          </c:tx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'26'!$J$6:$J$28</c:f>
              <c:numCache>
                <c:formatCode>_(* #,##0_);_(* \(#,##0\);_(* "-"_);_(@_)</c:formatCode>
                <c:ptCount val="23"/>
                <c:pt idx="0">
                  <c:v>5300</c:v>
                </c:pt>
                <c:pt idx="1">
                  <c:v>11486</c:v>
                </c:pt>
                <c:pt idx="2">
                  <c:v>3632</c:v>
                </c:pt>
                <c:pt idx="3">
                  <c:v>11548</c:v>
                </c:pt>
                <c:pt idx="4">
                  <c:v>11024</c:v>
                </c:pt>
                <c:pt idx="5">
                  <c:v>800</c:v>
                </c:pt>
                <c:pt idx="6">
                  <c:v>1323</c:v>
                </c:pt>
                <c:pt idx="7">
                  <c:v>5296</c:v>
                </c:pt>
                <c:pt idx="8">
                  <c:v>5812</c:v>
                </c:pt>
                <c:pt idx="9">
                  <c:v>6132</c:v>
                </c:pt>
                <c:pt idx="10">
                  <c:v>4832</c:v>
                </c:pt>
                <c:pt idx="11">
                  <c:v>9850</c:v>
                </c:pt>
                <c:pt idx="12">
                  <c:v>7890</c:v>
                </c:pt>
                <c:pt idx="13">
                  <c:v>143</c:v>
                </c:pt>
                <c:pt idx="14">
                  <c:v>7323</c:v>
                </c:pt>
                <c:pt idx="15">
                  <c:v>2429</c:v>
                </c:pt>
                <c:pt idx="16">
                  <c:v>45828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B-4F7F-9262-A206F9DB1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75%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79%</c:v>
                </c:pt>
                <c:pt idx="12">
                  <c:v>0%</c:v>
                </c:pt>
                <c:pt idx="13">
                  <c:v>0%</c:v>
                </c:pt>
                <c:pt idx="14">
                  <c:v>92%</c:v>
                </c:pt>
                <c:pt idx="15">
                  <c:v>54%</c:v>
                </c:pt>
                <c:pt idx="16">
                  <c:v>79%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0.79166666666666663</c:v>
                </c:pt>
                <c:pt idx="12">
                  <c:v>0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0.54166666666666663</c:v>
                </c:pt>
                <c:pt idx="16">
                  <c:v>0.79166666666666663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E-4817-B146-FD4A2AFB57B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EE-4817-B146-FD4A2AFB57B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'26'!$AE$6:$AE$28</c:f>
              <c:numCache>
                <c:formatCode>0%</c:formatCode>
                <c:ptCount val="23"/>
                <c:pt idx="0">
                  <c:v>0.36775362318840582</c:v>
                </c:pt>
                <c:pt idx="1">
                  <c:v>0.36775362318840582</c:v>
                </c:pt>
                <c:pt idx="2">
                  <c:v>0.36775362318840582</c:v>
                </c:pt>
                <c:pt idx="3">
                  <c:v>0.36775362318840582</c:v>
                </c:pt>
                <c:pt idx="4">
                  <c:v>0.36775362318840582</c:v>
                </c:pt>
                <c:pt idx="5">
                  <c:v>0.36775362318840582</c:v>
                </c:pt>
                <c:pt idx="6">
                  <c:v>0.36775362318840582</c:v>
                </c:pt>
                <c:pt idx="7">
                  <c:v>0.36775362318840582</c:v>
                </c:pt>
                <c:pt idx="8">
                  <c:v>0.36775362318840582</c:v>
                </c:pt>
                <c:pt idx="9">
                  <c:v>0.36775362318840582</c:v>
                </c:pt>
                <c:pt idx="10">
                  <c:v>0.36775362318840582</c:v>
                </c:pt>
                <c:pt idx="11">
                  <c:v>0.36775362318840582</c:v>
                </c:pt>
                <c:pt idx="12">
                  <c:v>0.36775362318840582</c:v>
                </c:pt>
                <c:pt idx="13">
                  <c:v>0.36775362318840582</c:v>
                </c:pt>
                <c:pt idx="14">
                  <c:v>0.36775362318840582</c:v>
                </c:pt>
                <c:pt idx="15">
                  <c:v>0.36775362318840582</c:v>
                </c:pt>
                <c:pt idx="16">
                  <c:v>0.36775362318840582</c:v>
                </c:pt>
                <c:pt idx="17">
                  <c:v>0.36775362318840582</c:v>
                </c:pt>
                <c:pt idx="18">
                  <c:v>0.36775362318840582</c:v>
                </c:pt>
                <c:pt idx="19">
                  <c:v>0.36775362318840582</c:v>
                </c:pt>
                <c:pt idx="20">
                  <c:v>0.36775362318840582</c:v>
                </c:pt>
                <c:pt idx="21">
                  <c:v>0.36775362318840582</c:v>
                </c:pt>
                <c:pt idx="22">
                  <c:v>0.36775362318840582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E-4817-B146-FD4A2AFB5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'26'!$L$6:$L$28</c:f>
              <c:numCache>
                <c:formatCode>_(* #,##0_);_(* \(#,##0\);_(* "-"_);_(@_)</c:formatCode>
                <c:ptCount val="23"/>
                <c:pt idx="1">
                  <c:v>11486</c:v>
                </c:pt>
                <c:pt idx="2">
                  <c:v>3632</c:v>
                </c:pt>
                <c:pt idx="3">
                  <c:v>11548</c:v>
                </c:pt>
                <c:pt idx="4">
                  <c:v>11024</c:v>
                </c:pt>
                <c:pt idx="5">
                  <c:v>800</c:v>
                </c:pt>
                <c:pt idx="6">
                  <c:v>1323</c:v>
                </c:pt>
                <c:pt idx="7">
                  <c:v>5296</c:v>
                </c:pt>
                <c:pt idx="11">
                  <c:v>9850</c:v>
                </c:pt>
                <c:pt idx="14">
                  <c:v>7323</c:v>
                </c:pt>
                <c:pt idx="15">
                  <c:v>2429</c:v>
                </c:pt>
                <c:pt idx="16">
                  <c:v>45828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1-4136-AEEA-0B5030F23268}"/>
            </c:ext>
          </c:extLst>
        </c:ser>
        <c:ser>
          <c:idx val="1"/>
          <c:order val="1"/>
          <c:tx>
            <c:v>계획</c:v>
          </c:tx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'26'!$J$6:$J$28</c:f>
              <c:numCache>
                <c:formatCode>_(* #,##0_);_(* \(#,##0\);_(* "-"_);_(@_)</c:formatCode>
                <c:ptCount val="23"/>
                <c:pt idx="0">
                  <c:v>5300</c:v>
                </c:pt>
                <c:pt idx="1">
                  <c:v>11486</c:v>
                </c:pt>
                <c:pt idx="2">
                  <c:v>3632</c:v>
                </c:pt>
                <c:pt idx="3">
                  <c:v>11548</c:v>
                </c:pt>
                <c:pt idx="4">
                  <c:v>11024</c:v>
                </c:pt>
                <c:pt idx="5">
                  <c:v>800</c:v>
                </c:pt>
                <c:pt idx="6">
                  <c:v>1323</c:v>
                </c:pt>
                <c:pt idx="7">
                  <c:v>5296</c:v>
                </c:pt>
                <c:pt idx="8">
                  <c:v>5812</c:v>
                </c:pt>
                <c:pt idx="9">
                  <c:v>6132</c:v>
                </c:pt>
                <c:pt idx="10">
                  <c:v>4832</c:v>
                </c:pt>
                <c:pt idx="11">
                  <c:v>9850</c:v>
                </c:pt>
                <c:pt idx="12">
                  <c:v>7890</c:v>
                </c:pt>
                <c:pt idx="13">
                  <c:v>143</c:v>
                </c:pt>
                <c:pt idx="14">
                  <c:v>7323</c:v>
                </c:pt>
                <c:pt idx="15">
                  <c:v>2429</c:v>
                </c:pt>
                <c:pt idx="16">
                  <c:v>45828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1-4136-AEEA-0B5030F2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75%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79%</c:v>
                </c:pt>
                <c:pt idx="12">
                  <c:v>0%</c:v>
                </c:pt>
                <c:pt idx="13">
                  <c:v>0%</c:v>
                </c:pt>
                <c:pt idx="14">
                  <c:v>92%</c:v>
                </c:pt>
                <c:pt idx="15">
                  <c:v>54%</c:v>
                </c:pt>
                <c:pt idx="16">
                  <c:v>79%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0.79166666666666663</c:v>
                </c:pt>
                <c:pt idx="12">
                  <c:v>0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0.54166666666666663</c:v>
                </c:pt>
                <c:pt idx="16">
                  <c:v>0.79166666666666663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0-4A53-9184-E30116E8AC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D0-4A53-9184-E30116E8AC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'26'!$D$6:$D$28</c:f>
              <c:strCache>
                <c:ptCount val="23"/>
                <c:pt idx="0">
                  <c:v>BASE</c:v>
                </c:pt>
                <c:pt idx="1">
                  <c:v>ADAPTER</c:v>
                </c:pt>
                <c:pt idx="2">
                  <c:v>ACTUATOR</c:v>
                </c:pt>
                <c:pt idx="5">
                  <c:v>LEAD GUIDER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'26'!$AE$6:$AE$28</c:f>
              <c:numCache>
                <c:formatCode>0%</c:formatCode>
                <c:ptCount val="23"/>
                <c:pt idx="0">
                  <c:v>0.36775362318840582</c:v>
                </c:pt>
                <c:pt idx="1">
                  <c:v>0.36775362318840582</c:v>
                </c:pt>
                <c:pt idx="2">
                  <c:v>0.36775362318840582</c:v>
                </c:pt>
                <c:pt idx="3">
                  <c:v>0.36775362318840582</c:v>
                </c:pt>
                <c:pt idx="4">
                  <c:v>0.36775362318840582</c:v>
                </c:pt>
                <c:pt idx="5">
                  <c:v>0.36775362318840582</c:v>
                </c:pt>
                <c:pt idx="6">
                  <c:v>0.36775362318840582</c:v>
                </c:pt>
                <c:pt idx="7">
                  <c:v>0.36775362318840582</c:v>
                </c:pt>
                <c:pt idx="8">
                  <c:v>0.36775362318840582</c:v>
                </c:pt>
                <c:pt idx="9">
                  <c:v>0.36775362318840582</c:v>
                </c:pt>
                <c:pt idx="10">
                  <c:v>0.36775362318840582</c:v>
                </c:pt>
                <c:pt idx="11">
                  <c:v>0.36775362318840582</c:v>
                </c:pt>
                <c:pt idx="12">
                  <c:v>0.36775362318840582</c:v>
                </c:pt>
                <c:pt idx="13">
                  <c:v>0.36775362318840582</c:v>
                </c:pt>
                <c:pt idx="14">
                  <c:v>0.36775362318840582</c:v>
                </c:pt>
                <c:pt idx="15">
                  <c:v>0.36775362318840582</c:v>
                </c:pt>
                <c:pt idx="16">
                  <c:v>0.36775362318840582</c:v>
                </c:pt>
                <c:pt idx="17">
                  <c:v>0.36775362318840582</c:v>
                </c:pt>
                <c:pt idx="18">
                  <c:v>0.36775362318840582</c:v>
                </c:pt>
                <c:pt idx="19">
                  <c:v>0.36775362318840582</c:v>
                </c:pt>
                <c:pt idx="20">
                  <c:v>0.36775362318840582</c:v>
                </c:pt>
                <c:pt idx="21">
                  <c:v>0.36775362318840582</c:v>
                </c:pt>
                <c:pt idx="22">
                  <c:v>0.36775362318840582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0-4A53-9184-E30116E8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A97-4692-B937-41EAC8B2BC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7-4692-B937-41EAC8B2B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A97-4692-B937-41EAC8B2BC8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97-4692-B937-41EAC8B2B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'27'!$L$6:$L$28</c:f>
              <c:numCache>
                <c:formatCode>_(* #,##0_);_(* \(#,##0\);_(* "-"_);_(@_)</c:formatCode>
                <c:ptCount val="23"/>
                <c:pt idx="0">
                  <c:v>1590</c:v>
                </c:pt>
                <c:pt idx="1">
                  <c:v>11566</c:v>
                </c:pt>
                <c:pt idx="2">
                  <c:v>827</c:v>
                </c:pt>
                <c:pt idx="3">
                  <c:v>11636</c:v>
                </c:pt>
                <c:pt idx="4">
                  <c:v>11102</c:v>
                </c:pt>
                <c:pt idx="5">
                  <c:v>300</c:v>
                </c:pt>
                <c:pt idx="6">
                  <c:v>2421</c:v>
                </c:pt>
                <c:pt idx="7">
                  <c:v>5335</c:v>
                </c:pt>
                <c:pt idx="11">
                  <c:v>12188</c:v>
                </c:pt>
                <c:pt idx="12">
                  <c:v>2404</c:v>
                </c:pt>
                <c:pt idx="13">
                  <c:v>4487</c:v>
                </c:pt>
                <c:pt idx="14">
                  <c:v>6344</c:v>
                </c:pt>
                <c:pt idx="15">
                  <c:v>7472</c:v>
                </c:pt>
                <c:pt idx="16">
                  <c:v>40364</c:v>
                </c:pt>
                <c:pt idx="20">
                  <c:v>13760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F-4DE3-AFF0-824B6F4EBB70}"/>
            </c:ext>
          </c:extLst>
        </c:ser>
        <c:ser>
          <c:idx val="1"/>
          <c:order val="1"/>
          <c:tx>
            <c:v>계획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'27'!$J$6:$J$28</c:f>
              <c:numCache>
                <c:formatCode>_(* #,##0_);_(* \(#,##0\);_(* "-"_);_(@_)</c:formatCode>
                <c:ptCount val="23"/>
                <c:pt idx="0">
                  <c:v>1590</c:v>
                </c:pt>
                <c:pt idx="1">
                  <c:v>11566</c:v>
                </c:pt>
                <c:pt idx="2">
                  <c:v>827</c:v>
                </c:pt>
                <c:pt idx="3">
                  <c:v>11636</c:v>
                </c:pt>
                <c:pt idx="4">
                  <c:v>11102</c:v>
                </c:pt>
                <c:pt idx="5">
                  <c:v>300</c:v>
                </c:pt>
                <c:pt idx="6">
                  <c:v>2421</c:v>
                </c:pt>
                <c:pt idx="7">
                  <c:v>5335</c:v>
                </c:pt>
                <c:pt idx="8">
                  <c:v>5812</c:v>
                </c:pt>
                <c:pt idx="9">
                  <c:v>6132</c:v>
                </c:pt>
                <c:pt idx="10">
                  <c:v>4832</c:v>
                </c:pt>
                <c:pt idx="11">
                  <c:v>12188</c:v>
                </c:pt>
                <c:pt idx="12">
                  <c:v>2404</c:v>
                </c:pt>
                <c:pt idx="13">
                  <c:v>4487</c:v>
                </c:pt>
                <c:pt idx="14">
                  <c:v>6344</c:v>
                </c:pt>
                <c:pt idx="15">
                  <c:v>7472</c:v>
                </c:pt>
                <c:pt idx="16">
                  <c:v>40364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F-4DE3-AFF0-824B6F4EB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'27'!$AD$6:$AD$28</c:f>
              <c:strCache>
                <c:ptCount val="23"/>
                <c:pt idx="0">
                  <c:v>33%</c:v>
                </c:pt>
                <c:pt idx="1">
                  <c:v>100%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13%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17%</c:v>
                </c:pt>
                <c:pt idx="13">
                  <c:v>83%</c:v>
                </c:pt>
                <c:pt idx="14">
                  <c:v>83%</c:v>
                </c:pt>
                <c:pt idx="15">
                  <c:v>83%</c:v>
                </c:pt>
                <c:pt idx="16">
                  <c:v>75%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30%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'27'!$AD$6:$AD$28</c:f>
              <c:numCache>
                <c:formatCode>0%</c:formatCode>
                <c:ptCount val="23"/>
                <c:pt idx="0">
                  <c:v>0.33333333333333331</c:v>
                </c:pt>
                <c:pt idx="1">
                  <c:v>1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0.125</c:v>
                </c:pt>
                <c:pt idx="6">
                  <c:v>0.41666666666666669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0.16666666666666666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0.83333333333333337</c:v>
                </c:pt>
                <c:pt idx="16">
                  <c:v>0.75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0.299860529986053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A-4824-A329-46B23E9F136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7A-4824-A329-46B23E9F13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'27'!$AE$6:$AE$28</c:f>
              <c:numCache>
                <c:formatCode>0%</c:formatCode>
                <c:ptCount val="23"/>
                <c:pt idx="0">
                  <c:v>0.42970408101388635</c:v>
                </c:pt>
                <c:pt idx="1">
                  <c:v>0.42970408101388635</c:v>
                </c:pt>
                <c:pt idx="2">
                  <c:v>0.42970408101388635</c:v>
                </c:pt>
                <c:pt idx="3">
                  <c:v>0.42970408101388635</c:v>
                </c:pt>
                <c:pt idx="4">
                  <c:v>0.42970408101388635</c:v>
                </c:pt>
                <c:pt idx="5">
                  <c:v>0.42970408101388635</c:v>
                </c:pt>
                <c:pt idx="6">
                  <c:v>0.42970408101388635</c:v>
                </c:pt>
                <c:pt idx="7">
                  <c:v>0.42970408101388635</c:v>
                </c:pt>
                <c:pt idx="8">
                  <c:v>0.42970408101388635</c:v>
                </c:pt>
                <c:pt idx="9">
                  <c:v>0.42970408101388635</c:v>
                </c:pt>
                <c:pt idx="10">
                  <c:v>0.42970408101388635</c:v>
                </c:pt>
                <c:pt idx="11">
                  <c:v>0.42970408101388635</c:v>
                </c:pt>
                <c:pt idx="12">
                  <c:v>0.42970408101388635</c:v>
                </c:pt>
                <c:pt idx="13">
                  <c:v>0.42970408101388635</c:v>
                </c:pt>
                <c:pt idx="14">
                  <c:v>0.42970408101388635</c:v>
                </c:pt>
                <c:pt idx="15">
                  <c:v>0.42970408101388635</c:v>
                </c:pt>
                <c:pt idx="16">
                  <c:v>0.42970408101388635</c:v>
                </c:pt>
                <c:pt idx="17">
                  <c:v>0.42970408101388635</c:v>
                </c:pt>
                <c:pt idx="18">
                  <c:v>0.42970408101388635</c:v>
                </c:pt>
                <c:pt idx="19">
                  <c:v>0.42970408101388635</c:v>
                </c:pt>
                <c:pt idx="20">
                  <c:v>0.42970408101388635</c:v>
                </c:pt>
                <c:pt idx="21">
                  <c:v>0.42970408101388635</c:v>
                </c:pt>
                <c:pt idx="22">
                  <c:v>0.42970408101388635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A-4824-A329-46B23E9F1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'27'!$L$6:$L$28</c:f>
              <c:numCache>
                <c:formatCode>_(* #,##0_);_(* \(#,##0\);_(* "-"_);_(@_)</c:formatCode>
                <c:ptCount val="23"/>
                <c:pt idx="0">
                  <c:v>1590</c:v>
                </c:pt>
                <c:pt idx="1">
                  <c:v>11566</c:v>
                </c:pt>
                <c:pt idx="2">
                  <c:v>827</c:v>
                </c:pt>
                <c:pt idx="3">
                  <c:v>11636</c:v>
                </c:pt>
                <c:pt idx="4">
                  <c:v>11102</c:v>
                </c:pt>
                <c:pt idx="5">
                  <c:v>300</c:v>
                </c:pt>
                <c:pt idx="6">
                  <c:v>2421</c:v>
                </c:pt>
                <c:pt idx="7">
                  <c:v>5335</c:v>
                </c:pt>
                <c:pt idx="11">
                  <c:v>12188</c:v>
                </c:pt>
                <c:pt idx="12">
                  <c:v>2404</c:v>
                </c:pt>
                <c:pt idx="13">
                  <c:v>4487</c:v>
                </c:pt>
                <c:pt idx="14">
                  <c:v>6344</c:v>
                </c:pt>
                <c:pt idx="15">
                  <c:v>7472</c:v>
                </c:pt>
                <c:pt idx="16">
                  <c:v>40364</c:v>
                </c:pt>
                <c:pt idx="20">
                  <c:v>13760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B2-4C0C-87AF-DFDC7756794B}"/>
            </c:ext>
          </c:extLst>
        </c:ser>
        <c:ser>
          <c:idx val="1"/>
          <c:order val="1"/>
          <c:tx>
            <c:v>계획</c:v>
          </c:tx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'27'!$J$6:$J$28</c:f>
              <c:numCache>
                <c:formatCode>_(* #,##0_);_(* \(#,##0\);_(* "-"_);_(@_)</c:formatCode>
                <c:ptCount val="23"/>
                <c:pt idx="0">
                  <c:v>1590</c:v>
                </c:pt>
                <c:pt idx="1">
                  <c:v>11566</c:v>
                </c:pt>
                <c:pt idx="2">
                  <c:v>827</c:v>
                </c:pt>
                <c:pt idx="3">
                  <c:v>11636</c:v>
                </c:pt>
                <c:pt idx="4">
                  <c:v>11102</c:v>
                </c:pt>
                <c:pt idx="5">
                  <c:v>300</c:v>
                </c:pt>
                <c:pt idx="6">
                  <c:v>2421</c:v>
                </c:pt>
                <c:pt idx="7">
                  <c:v>5335</c:v>
                </c:pt>
                <c:pt idx="8">
                  <c:v>5812</c:v>
                </c:pt>
                <c:pt idx="9">
                  <c:v>6132</c:v>
                </c:pt>
                <c:pt idx="10">
                  <c:v>4832</c:v>
                </c:pt>
                <c:pt idx="11">
                  <c:v>12188</c:v>
                </c:pt>
                <c:pt idx="12">
                  <c:v>2404</c:v>
                </c:pt>
                <c:pt idx="13">
                  <c:v>4487</c:v>
                </c:pt>
                <c:pt idx="14">
                  <c:v>6344</c:v>
                </c:pt>
                <c:pt idx="15">
                  <c:v>7472</c:v>
                </c:pt>
                <c:pt idx="16">
                  <c:v>40364</c:v>
                </c:pt>
                <c:pt idx="17">
                  <c:v>0</c:v>
                </c:pt>
                <c:pt idx="18">
                  <c:v>0</c:v>
                </c:pt>
                <c:pt idx="19">
                  <c:v>28124</c:v>
                </c:pt>
                <c:pt idx="20">
                  <c:v>26768</c:v>
                </c:pt>
                <c:pt idx="21">
                  <c:v>26944</c:v>
                </c:pt>
                <c:pt idx="22">
                  <c:v>26192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2-4C0C-87AF-DFDC77567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'27'!$AD$6:$AD$28</c:f>
              <c:strCache>
                <c:ptCount val="23"/>
                <c:pt idx="0">
                  <c:v>33%</c:v>
                </c:pt>
                <c:pt idx="1">
                  <c:v>100%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13%</c:v>
                </c:pt>
                <c:pt idx="6">
                  <c:v>42%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17%</c:v>
                </c:pt>
                <c:pt idx="13">
                  <c:v>83%</c:v>
                </c:pt>
                <c:pt idx="14">
                  <c:v>83%</c:v>
                </c:pt>
                <c:pt idx="15">
                  <c:v>83%</c:v>
                </c:pt>
                <c:pt idx="16">
                  <c:v>75%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30%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'27'!$AD$6:$AD$28</c:f>
              <c:numCache>
                <c:formatCode>0%</c:formatCode>
                <c:ptCount val="23"/>
                <c:pt idx="0">
                  <c:v>0.33333333333333331</c:v>
                </c:pt>
                <c:pt idx="1">
                  <c:v>1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0.125</c:v>
                </c:pt>
                <c:pt idx="6">
                  <c:v>0.41666666666666669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0.16666666666666666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0.83333333333333337</c:v>
                </c:pt>
                <c:pt idx="16">
                  <c:v>0.75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0.299860529986053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7-4ADB-820E-1968C64403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C7-4ADB-820E-1968C64403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ACTUATOR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ADAPTER</c:v>
                </c:pt>
                <c:pt idx="12">
                  <c:v>SLIDER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'27'!$AE$6:$AE$28</c:f>
              <c:numCache>
                <c:formatCode>0%</c:formatCode>
                <c:ptCount val="23"/>
                <c:pt idx="0">
                  <c:v>0.42970408101388635</c:v>
                </c:pt>
                <c:pt idx="1">
                  <c:v>0.42970408101388635</c:v>
                </c:pt>
                <c:pt idx="2">
                  <c:v>0.42970408101388635</c:v>
                </c:pt>
                <c:pt idx="3">
                  <c:v>0.42970408101388635</c:v>
                </c:pt>
                <c:pt idx="4">
                  <c:v>0.42970408101388635</c:v>
                </c:pt>
                <c:pt idx="5">
                  <c:v>0.42970408101388635</c:v>
                </c:pt>
                <c:pt idx="6">
                  <c:v>0.42970408101388635</c:v>
                </c:pt>
                <c:pt idx="7">
                  <c:v>0.42970408101388635</c:v>
                </c:pt>
                <c:pt idx="8">
                  <c:v>0.42970408101388635</c:v>
                </c:pt>
                <c:pt idx="9">
                  <c:v>0.42970408101388635</c:v>
                </c:pt>
                <c:pt idx="10">
                  <c:v>0.42970408101388635</c:v>
                </c:pt>
                <c:pt idx="11">
                  <c:v>0.42970408101388635</c:v>
                </c:pt>
                <c:pt idx="12">
                  <c:v>0.42970408101388635</c:v>
                </c:pt>
                <c:pt idx="13">
                  <c:v>0.42970408101388635</c:v>
                </c:pt>
                <c:pt idx="14">
                  <c:v>0.42970408101388635</c:v>
                </c:pt>
                <c:pt idx="15">
                  <c:v>0.42970408101388635</c:v>
                </c:pt>
                <c:pt idx="16">
                  <c:v>0.42970408101388635</c:v>
                </c:pt>
                <c:pt idx="17">
                  <c:v>0.42970408101388635</c:v>
                </c:pt>
                <c:pt idx="18">
                  <c:v>0.42970408101388635</c:v>
                </c:pt>
                <c:pt idx="19">
                  <c:v>0.42970408101388635</c:v>
                </c:pt>
                <c:pt idx="20">
                  <c:v>0.42970408101388635</c:v>
                </c:pt>
                <c:pt idx="21">
                  <c:v>0.42970408101388635</c:v>
                </c:pt>
                <c:pt idx="22">
                  <c:v>0.42970408101388635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7-4ADB-820E-1968C6440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828-432C-A595-7770D0E730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8-432C-A595-7770D0E73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828-432C-A595-7770D0E730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28-432C-A595-7770D0E73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'28'!$L$6:$L$27</c:f>
              <c:numCache>
                <c:formatCode>_(* #,##0_);_(* \(#,##0\);_(* "-"_);_(@_)</c:formatCode>
                <c:ptCount val="22"/>
                <c:pt idx="0">
                  <c:v>0</c:v>
                </c:pt>
                <c:pt idx="1">
                  <c:v>10872</c:v>
                </c:pt>
                <c:pt idx="2">
                  <c:v>269</c:v>
                </c:pt>
                <c:pt idx="3">
                  <c:v>8339</c:v>
                </c:pt>
                <c:pt idx="4">
                  <c:v>10440</c:v>
                </c:pt>
                <c:pt idx="5">
                  <c:v>2219</c:v>
                </c:pt>
                <c:pt idx="6">
                  <c:v>4973</c:v>
                </c:pt>
                <c:pt idx="7">
                  <c:v>4261</c:v>
                </c:pt>
                <c:pt idx="10">
                  <c:v>10512</c:v>
                </c:pt>
                <c:pt idx="11">
                  <c:v>19916</c:v>
                </c:pt>
                <c:pt idx="12">
                  <c:v>5186</c:v>
                </c:pt>
                <c:pt idx="13">
                  <c:v>4210</c:v>
                </c:pt>
                <c:pt idx="14">
                  <c:v>8688</c:v>
                </c:pt>
                <c:pt idx="15">
                  <c:v>44068</c:v>
                </c:pt>
                <c:pt idx="19">
                  <c:v>25860</c:v>
                </c:pt>
                <c:pt idx="21">
                  <c:v>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6-4E13-9EC4-B9332569CA58}"/>
            </c:ext>
          </c:extLst>
        </c:ser>
        <c:ser>
          <c:idx val="1"/>
          <c:order val="1"/>
          <c:tx>
            <c:v>계획</c:v>
          </c:tx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'28'!$J$6:$J$27</c:f>
              <c:numCache>
                <c:formatCode>_(* #,##0_);_(* \(#,##0\);_(* "-"_);_(@_)</c:formatCode>
                <c:ptCount val="22"/>
                <c:pt idx="0">
                  <c:v>1590</c:v>
                </c:pt>
                <c:pt idx="1">
                  <c:v>10872</c:v>
                </c:pt>
                <c:pt idx="2">
                  <c:v>269</c:v>
                </c:pt>
                <c:pt idx="3">
                  <c:v>10862</c:v>
                </c:pt>
                <c:pt idx="4">
                  <c:v>10440</c:v>
                </c:pt>
                <c:pt idx="5">
                  <c:v>2219</c:v>
                </c:pt>
                <c:pt idx="6">
                  <c:v>4973</c:v>
                </c:pt>
                <c:pt idx="7">
                  <c:v>4261</c:v>
                </c:pt>
                <c:pt idx="8">
                  <c:v>6132</c:v>
                </c:pt>
                <c:pt idx="9">
                  <c:v>4832</c:v>
                </c:pt>
                <c:pt idx="10">
                  <c:v>10512</c:v>
                </c:pt>
                <c:pt idx="11">
                  <c:v>19916</c:v>
                </c:pt>
                <c:pt idx="12">
                  <c:v>5186</c:v>
                </c:pt>
                <c:pt idx="13">
                  <c:v>4210</c:v>
                </c:pt>
                <c:pt idx="14">
                  <c:v>8688</c:v>
                </c:pt>
                <c:pt idx="15">
                  <c:v>44068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25860</c:v>
                </c:pt>
                <c:pt idx="20">
                  <c:v>26944</c:v>
                </c:pt>
                <c:pt idx="21">
                  <c:v>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6-4E13-9EC4-B9332569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17%</c:v>
                </c:pt>
                <c:pt idx="3">
                  <c:v>77%</c:v>
                </c:pt>
                <c:pt idx="4">
                  <c:v>100%</c:v>
                </c:pt>
                <c:pt idx="5">
                  <c:v>58%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96%</c:v>
                </c:pt>
                <c:pt idx="12">
                  <c:v>100%</c:v>
                </c:pt>
                <c:pt idx="13">
                  <c:v>79%</c:v>
                </c:pt>
                <c:pt idx="14">
                  <c:v>88%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0.16666666666666666</c:v>
                </c:pt>
                <c:pt idx="3">
                  <c:v>0.76772233474498253</c:v>
                </c:pt>
                <c:pt idx="4">
                  <c:v>1</c:v>
                </c:pt>
                <c:pt idx="5">
                  <c:v>0.58333333333333337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0.95833333333333337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0.875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6-4540-AEEE-E6BC5CD7596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A6-4540-AEEE-E6BC5CD759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'28'!$AE$6:$AE$27</c:f>
              <c:numCache>
                <c:formatCode>0%</c:formatCode>
                <c:ptCount val="22"/>
                <c:pt idx="0">
                  <c:v>0.58224495460962045</c:v>
                </c:pt>
                <c:pt idx="1">
                  <c:v>0.58224495460962045</c:v>
                </c:pt>
                <c:pt idx="2">
                  <c:v>0.58224495460962045</c:v>
                </c:pt>
                <c:pt idx="3">
                  <c:v>0.58224495460962045</c:v>
                </c:pt>
                <c:pt idx="4">
                  <c:v>0.58224495460962045</c:v>
                </c:pt>
                <c:pt idx="5">
                  <c:v>0.58224495460962045</c:v>
                </c:pt>
                <c:pt idx="6">
                  <c:v>0.58224495460962045</c:v>
                </c:pt>
                <c:pt idx="7">
                  <c:v>0.58224495460962045</c:v>
                </c:pt>
                <c:pt idx="8">
                  <c:v>0.58224495460962045</c:v>
                </c:pt>
                <c:pt idx="9">
                  <c:v>0.58224495460962045</c:v>
                </c:pt>
                <c:pt idx="10">
                  <c:v>0.58224495460962045</c:v>
                </c:pt>
                <c:pt idx="11">
                  <c:v>0.58224495460962045</c:v>
                </c:pt>
                <c:pt idx="12">
                  <c:v>0.58224495460962045</c:v>
                </c:pt>
                <c:pt idx="13">
                  <c:v>0.58224495460962045</c:v>
                </c:pt>
                <c:pt idx="14">
                  <c:v>0.58224495460962045</c:v>
                </c:pt>
                <c:pt idx="15">
                  <c:v>0.58224495460962045</c:v>
                </c:pt>
                <c:pt idx="16">
                  <c:v>0.58224495460962045</c:v>
                </c:pt>
                <c:pt idx="17">
                  <c:v>0.58224495460962045</c:v>
                </c:pt>
                <c:pt idx="18">
                  <c:v>0.58224495460962045</c:v>
                </c:pt>
                <c:pt idx="19">
                  <c:v>0.58224495460962045</c:v>
                </c:pt>
                <c:pt idx="20">
                  <c:v>0.58224495460962045</c:v>
                </c:pt>
                <c:pt idx="21">
                  <c:v>0.58224495460962045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6-4540-AEEE-E6BC5CD75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'28'!$L$6:$L$27</c:f>
              <c:numCache>
                <c:formatCode>_(* #,##0_);_(* \(#,##0\);_(* "-"_);_(@_)</c:formatCode>
                <c:ptCount val="22"/>
                <c:pt idx="0">
                  <c:v>0</c:v>
                </c:pt>
                <c:pt idx="1">
                  <c:v>10872</c:v>
                </c:pt>
                <c:pt idx="2">
                  <c:v>269</c:v>
                </c:pt>
                <c:pt idx="3">
                  <c:v>8339</c:v>
                </c:pt>
                <c:pt idx="4">
                  <c:v>10440</c:v>
                </c:pt>
                <c:pt idx="5">
                  <c:v>2219</c:v>
                </c:pt>
                <c:pt idx="6">
                  <c:v>4973</c:v>
                </c:pt>
                <c:pt idx="7">
                  <c:v>4261</c:v>
                </c:pt>
                <c:pt idx="10">
                  <c:v>10512</c:v>
                </c:pt>
                <c:pt idx="11">
                  <c:v>19916</c:v>
                </c:pt>
                <c:pt idx="12">
                  <c:v>5186</c:v>
                </c:pt>
                <c:pt idx="13">
                  <c:v>4210</c:v>
                </c:pt>
                <c:pt idx="14">
                  <c:v>8688</c:v>
                </c:pt>
                <c:pt idx="15">
                  <c:v>44068</c:v>
                </c:pt>
                <c:pt idx="19">
                  <c:v>25860</c:v>
                </c:pt>
                <c:pt idx="21">
                  <c:v>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C-4053-8F4A-E323488D48E1}"/>
            </c:ext>
          </c:extLst>
        </c:ser>
        <c:ser>
          <c:idx val="1"/>
          <c:order val="1"/>
          <c:tx>
            <c:v>계획</c:v>
          </c:tx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'28'!$J$6:$J$27</c:f>
              <c:numCache>
                <c:formatCode>_(* #,##0_);_(* \(#,##0\);_(* "-"_);_(@_)</c:formatCode>
                <c:ptCount val="22"/>
                <c:pt idx="0">
                  <c:v>1590</c:v>
                </c:pt>
                <c:pt idx="1">
                  <c:v>10872</c:v>
                </c:pt>
                <c:pt idx="2">
                  <c:v>269</c:v>
                </c:pt>
                <c:pt idx="3">
                  <c:v>10862</c:v>
                </c:pt>
                <c:pt idx="4">
                  <c:v>10440</c:v>
                </c:pt>
                <c:pt idx="5">
                  <c:v>2219</c:v>
                </c:pt>
                <c:pt idx="6">
                  <c:v>4973</c:v>
                </c:pt>
                <c:pt idx="7">
                  <c:v>4261</c:v>
                </c:pt>
                <c:pt idx="8">
                  <c:v>6132</c:v>
                </c:pt>
                <c:pt idx="9">
                  <c:v>4832</c:v>
                </c:pt>
                <c:pt idx="10">
                  <c:v>10512</c:v>
                </c:pt>
                <c:pt idx="11">
                  <c:v>19916</c:v>
                </c:pt>
                <c:pt idx="12">
                  <c:v>5186</c:v>
                </c:pt>
                <c:pt idx="13">
                  <c:v>4210</c:v>
                </c:pt>
                <c:pt idx="14">
                  <c:v>8688</c:v>
                </c:pt>
                <c:pt idx="15">
                  <c:v>44068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25860</c:v>
                </c:pt>
                <c:pt idx="20">
                  <c:v>26944</c:v>
                </c:pt>
                <c:pt idx="21">
                  <c:v>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C-4053-8F4A-E323488D4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17%</c:v>
                </c:pt>
                <c:pt idx="3">
                  <c:v>77%</c:v>
                </c:pt>
                <c:pt idx="4">
                  <c:v>100%</c:v>
                </c:pt>
                <c:pt idx="5">
                  <c:v>58%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96%</c:v>
                </c:pt>
                <c:pt idx="12">
                  <c:v>100%</c:v>
                </c:pt>
                <c:pt idx="13">
                  <c:v>79%</c:v>
                </c:pt>
                <c:pt idx="14">
                  <c:v>88%</c:v>
                </c:pt>
                <c:pt idx="15">
                  <c:v>88%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100%</c:v>
                </c:pt>
                <c:pt idx="20">
                  <c:v>0%</c:v>
                </c:pt>
                <c:pt idx="21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0.16666666666666666</c:v>
                </c:pt>
                <c:pt idx="3">
                  <c:v>0.76772233474498253</c:v>
                </c:pt>
                <c:pt idx="4">
                  <c:v>1</c:v>
                </c:pt>
                <c:pt idx="5">
                  <c:v>0.58333333333333337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0.95833333333333337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0.875</c:v>
                </c:pt>
                <c:pt idx="15">
                  <c:v>0.875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F-4026-9F20-41AE6EE466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6F-4026-9F20-41AE6EE466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'28'!$AE$6:$AE$27</c:f>
              <c:numCache>
                <c:formatCode>0%</c:formatCode>
                <c:ptCount val="22"/>
                <c:pt idx="0">
                  <c:v>0.58224495460962045</c:v>
                </c:pt>
                <c:pt idx="1">
                  <c:v>0.58224495460962045</c:v>
                </c:pt>
                <c:pt idx="2">
                  <c:v>0.58224495460962045</c:v>
                </c:pt>
                <c:pt idx="3">
                  <c:v>0.58224495460962045</c:v>
                </c:pt>
                <c:pt idx="4">
                  <c:v>0.58224495460962045</c:v>
                </c:pt>
                <c:pt idx="5">
                  <c:v>0.58224495460962045</c:v>
                </c:pt>
                <c:pt idx="6">
                  <c:v>0.58224495460962045</c:v>
                </c:pt>
                <c:pt idx="7">
                  <c:v>0.58224495460962045</c:v>
                </c:pt>
                <c:pt idx="8">
                  <c:v>0.58224495460962045</c:v>
                </c:pt>
                <c:pt idx="9">
                  <c:v>0.58224495460962045</c:v>
                </c:pt>
                <c:pt idx="10">
                  <c:v>0.58224495460962045</c:v>
                </c:pt>
                <c:pt idx="11">
                  <c:v>0.58224495460962045</c:v>
                </c:pt>
                <c:pt idx="12">
                  <c:v>0.58224495460962045</c:v>
                </c:pt>
                <c:pt idx="13">
                  <c:v>0.58224495460962045</c:v>
                </c:pt>
                <c:pt idx="14">
                  <c:v>0.58224495460962045</c:v>
                </c:pt>
                <c:pt idx="15">
                  <c:v>0.58224495460962045</c:v>
                </c:pt>
                <c:pt idx="16">
                  <c:v>0.58224495460962045</c:v>
                </c:pt>
                <c:pt idx="17">
                  <c:v>0.58224495460962045</c:v>
                </c:pt>
                <c:pt idx="18">
                  <c:v>0.58224495460962045</c:v>
                </c:pt>
                <c:pt idx="19">
                  <c:v>0.58224495460962045</c:v>
                </c:pt>
                <c:pt idx="20">
                  <c:v>0.58224495460962045</c:v>
                </c:pt>
                <c:pt idx="21">
                  <c:v>0.58224495460962045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6F-4026-9F20-41AE6EE4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5BA-4824-AE10-537DD069E4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A-4824-AE10-537DD069E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5BA-4824-AE10-537DD069E4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BA-4824-AE10-537DD069E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2771</c:v>
                </c:pt>
                <c:pt idx="1">
                  <c:v>10958</c:v>
                </c:pt>
                <c:pt idx="2">
                  <c:v>196</c:v>
                </c:pt>
                <c:pt idx="4">
                  <c:v>9772</c:v>
                </c:pt>
                <c:pt idx="6">
                  <c:v>3958</c:v>
                </c:pt>
                <c:pt idx="7">
                  <c:v>4522</c:v>
                </c:pt>
                <c:pt idx="11">
                  <c:v>21068</c:v>
                </c:pt>
                <c:pt idx="12">
                  <c:v>5334</c:v>
                </c:pt>
                <c:pt idx="13">
                  <c:v>6874</c:v>
                </c:pt>
                <c:pt idx="14">
                  <c:v>7444</c:v>
                </c:pt>
                <c:pt idx="15">
                  <c:v>59984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8-4444-A0A3-37BA347CB720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2771</c:v>
                </c:pt>
                <c:pt idx="1">
                  <c:v>10958</c:v>
                </c:pt>
                <c:pt idx="2">
                  <c:v>196</c:v>
                </c:pt>
                <c:pt idx="3">
                  <c:v>10862</c:v>
                </c:pt>
                <c:pt idx="4">
                  <c:v>10440</c:v>
                </c:pt>
                <c:pt idx="5">
                  <c:v>2219</c:v>
                </c:pt>
                <c:pt idx="6">
                  <c:v>3958</c:v>
                </c:pt>
                <c:pt idx="7">
                  <c:v>4522</c:v>
                </c:pt>
                <c:pt idx="8">
                  <c:v>6132</c:v>
                </c:pt>
                <c:pt idx="9">
                  <c:v>4832</c:v>
                </c:pt>
                <c:pt idx="10">
                  <c:v>10512</c:v>
                </c:pt>
                <c:pt idx="11">
                  <c:v>21068</c:v>
                </c:pt>
                <c:pt idx="12">
                  <c:v>5334</c:v>
                </c:pt>
                <c:pt idx="13">
                  <c:v>6874</c:v>
                </c:pt>
                <c:pt idx="14">
                  <c:v>7444</c:v>
                </c:pt>
                <c:pt idx="15">
                  <c:v>59984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25860</c:v>
                </c:pt>
                <c:pt idx="20">
                  <c:v>26944</c:v>
                </c:pt>
                <c:pt idx="21">
                  <c:v>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8-4444-A0A3-37BA347CB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58%</c:v>
                </c:pt>
                <c:pt idx="1">
                  <c:v>100%</c:v>
                </c:pt>
                <c:pt idx="2">
                  <c:v>17%</c:v>
                </c:pt>
                <c:pt idx="3">
                  <c:v>0%</c:v>
                </c:pt>
                <c:pt idx="4">
                  <c:v>94%</c:v>
                </c:pt>
                <c:pt idx="5">
                  <c:v>0%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71%</c:v>
                </c:pt>
                <c:pt idx="14">
                  <c:v>79%</c:v>
                </c:pt>
                <c:pt idx="15">
                  <c:v>96%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0.58333333333333337</c:v>
                </c:pt>
                <c:pt idx="1">
                  <c:v>1</c:v>
                </c:pt>
                <c:pt idx="2">
                  <c:v>0.16666666666666666</c:v>
                </c:pt>
                <c:pt idx="3">
                  <c:v>0</c:v>
                </c:pt>
                <c:pt idx="4">
                  <c:v>0.93601532567049806</c:v>
                </c:pt>
                <c:pt idx="5">
                  <c:v>0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0.79166666666666663</c:v>
                </c:pt>
                <c:pt idx="15">
                  <c:v>0.95833333333333337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D-4567-B6B1-B71B3F067C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2D-4567-B6B1-B71B3F067C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0.40807645419714389</c:v>
                </c:pt>
                <c:pt idx="1">
                  <c:v>0.40807645419714389</c:v>
                </c:pt>
                <c:pt idx="2">
                  <c:v>0.40807645419714389</c:v>
                </c:pt>
                <c:pt idx="3">
                  <c:v>0.40807645419714389</c:v>
                </c:pt>
                <c:pt idx="4">
                  <c:v>0.40807645419714389</c:v>
                </c:pt>
                <c:pt idx="5">
                  <c:v>0.40807645419714389</c:v>
                </c:pt>
                <c:pt idx="6">
                  <c:v>0.40807645419714389</c:v>
                </c:pt>
                <c:pt idx="7">
                  <c:v>0.40807645419714389</c:v>
                </c:pt>
                <c:pt idx="8">
                  <c:v>0.40807645419714389</c:v>
                </c:pt>
                <c:pt idx="9">
                  <c:v>0.40807645419714389</c:v>
                </c:pt>
                <c:pt idx="10">
                  <c:v>0.40807645419714389</c:v>
                </c:pt>
                <c:pt idx="11">
                  <c:v>0.40807645419714389</c:v>
                </c:pt>
                <c:pt idx="12">
                  <c:v>0.40807645419714389</c:v>
                </c:pt>
                <c:pt idx="13">
                  <c:v>0.40807645419714389</c:v>
                </c:pt>
                <c:pt idx="14">
                  <c:v>0.40807645419714389</c:v>
                </c:pt>
                <c:pt idx="15">
                  <c:v>0.40807645419714389</c:v>
                </c:pt>
                <c:pt idx="16">
                  <c:v>0.40807645419714389</c:v>
                </c:pt>
                <c:pt idx="17">
                  <c:v>0.40807645419714389</c:v>
                </c:pt>
                <c:pt idx="18">
                  <c:v>0.40807645419714389</c:v>
                </c:pt>
                <c:pt idx="19">
                  <c:v>0.40807645419714389</c:v>
                </c:pt>
                <c:pt idx="20">
                  <c:v>0.40807645419714389</c:v>
                </c:pt>
                <c:pt idx="21">
                  <c:v>0.40807645419714389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2D-4567-B6B1-B71B3F06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'30'!$L$6:$L$27</c:f>
              <c:numCache>
                <c:formatCode>_(* #,##0_);_(* \(#,##0\);_(* "-"_);_(@_)</c:formatCode>
                <c:ptCount val="22"/>
                <c:pt idx="0">
                  <c:v>2771</c:v>
                </c:pt>
                <c:pt idx="1">
                  <c:v>10958</c:v>
                </c:pt>
                <c:pt idx="2">
                  <c:v>196</c:v>
                </c:pt>
                <c:pt idx="4">
                  <c:v>9772</c:v>
                </c:pt>
                <c:pt idx="6">
                  <c:v>3958</c:v>
                </c:pt>
                <c:pt idx="7">
                  <c:v>4522</c:v>
                </c:pt>
                <c:pt idx="11">
                  <c:v>21068</c:v>
                </c:pt>
                <c:pt idx="12">
                  <c:v>5334</c:v>
                </c:pt>
                <c:pt idx="13">
                  <c:v>6874</c:v>
                </c:pt>
                <c:pt idx="14">
                  <c:v>7444</c:v>
                </c:pt>
                <c:pt idx="15">
                  <c:v>59984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E-4765-8972-2A99F23FD4EB}"/>
            </c:ext>
          </c:extLst>
        </c:ser>
        <c:ser>
          <c:idx val="1"/>
          <c:order val="1"/>
          <c:tx>
            <c:v>계획</c:v>
          </c:tx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'30'!$J$6:$J$27</c:f>
              <c:numCache>
                <c:formatCode>_(* #,##0_);_(* \(#,##0\);_(* "-"_);_(@_)</c:formatCode>
                <c:ptCount val="22"/>
                <c:pt idx="0">
                  <c:v>2771</c:v>
                </c:pt>
                <c:pt idx="1">
                  <c:v>10958</c:v>
                </c:pt>
                <c:pt idx="2">
                  <c:v>196</c:v>
                </c:pt>
                <c:pt idx="3">
                  <c:v>10862</c:v>
                </c:pt>
                <c:pt idx="4">
                  <c:v>10440</c:v>
                </c:pt>
                <c:pt idx="5">
                  <c:v>2219</c:v>
                </c:pt>
                <c:pt idx="6">
                  <c:v>3958</c:v>
                </c:pt>
                <c:pt idx="7">
                  <c:v>4522</c:v>
                </c:pt>
                <c:pt idx="8">
                  <c:v>6132</c:v>
                </c:pt>
                <c:pt idx="9">
                  <c:v>4832</c:v>
                </c:pt>
                <c:pt idx="10">
                  <c:v>10512</c:v>
                </c:pt>
                <c:pt idx="11">
                  <c:v>21068</c:v>
                </c:pt>
                <c:pt idx="12">
                  <c:v>5334</c:v>
                </c:pt>
                <c:pt idx="13">
                  <c:v>6874</c:v>
                </c:pt>
                <c:pt idx="14">
                  <c:v>7444</c:v>
                </c:pt>
                <c:pt idx="15">
                  <c:v>59984</c:v>
                </c:pt>
                <c:pt idx="16">
                  <c:v>0</c:v>
                </c:pt>
                <c:pt idx="17">
                  <c:v>0</c:v>
                </c:pt>
                <c:pt idx="18">
                  <c:v>28124</c:v>
                </c:pt>
                <c:pt idx="19">
                  <c:v>25860</c:v>
                </c:pt>
                <c:pt idx="20">
                  <c:v>26944</c:v>
                </c:pt>
                <c:pt idx="21">
                  <c:v>21920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E-4765-8972-2A99F23F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'30'!$AD$6:$AD$27</c:f>
              <c:strCache>
                <c:ptCount val="22"/>
                <c:pt idx="0">
                  <c:v>58%</c:v>
                </c:pt>
                <c:pt idx="1">
                  <c:v>100%</c:v>
                </c:pt>
                <c:pt idx="2">
                  <c:v>17%</c:v>
                </c:pt>
                <c:pt idx="3">
                  <c:v>0%</c:v>
                </c:pt>
                <c:pt idx="4">
                  <c:v>94%</c:v>
                </c:pt>
                <c:pt idx="5">
                  <c:v>0%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71%</c:v>
                </c:pt>
                <c:pt idx="14">
                  <c:v>79%</c:v>
                </c:pt>
                <c:pt idx="15">
                  <c:v>96%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'30'!$AD$6:$AD$27</c:f>
              <c:numCache>
                <c:formatCode>0%</c:formatCode>
                <c:ptCount val="22"/>
                <c:pt idx="0">
                  <c:v>0.58333333333333337</c:v>
                </c:pt>
                <c:pt idx="1">
                  <c:v>1</c:v>
                </c:pt>
                <c:pt idx="2">
                  <c:v>0.16666666666666666</c:v>
                </c:pt>
                <c:pt idx="3">
                  <c:v>0</c:v>
                </c:pt>
                <c:pt idx="4">
                  <c:v>0.93601532567049806</c:v>
                </c:pt>
                <c:pt idx="5">
                  <c:v>0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0.70833333333333337</c:v>
                </c:pt>
                <c:pt idx="14">
                  <c:v>0.79166666666666663</c:v>
                </c:pt>
                <c:pt idx="15">
                  <c:v>0.95833333333333337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D-4AFE-A6D3-581D3B0EF65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5D-4AFE-A6D3-581D3B0EF6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'30'!$D$6:$D$27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5">
                  <c:v>COVER</c:v>
                </c:pt>
                <c:pt idx="6">
                  <c:v>BASE</c:v>
                </c:pt>
                <c:pt idx="7">
                  <c:v>4LEAD</c:v>
                </c:pt>
                <c:pt idx="8">
                  <c:v>BASE</c:v>
                </c:pt>
                <c:pt idx="9">
                  <c:v>ADAPTER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LEAD GUIDER</c:v>
                </c:pt>
                <c:pt idx="19">
                  <c:v>SLIDER</c:v>
                </c:pt>
                <c:pt idx="20">
                  <c:v>COVER</c:v>
                </c:pt>
                <c:pt idx="21">
                  <c:v>BASE</c:v>
                </c:pt>
              </c:strCache>
            </c:strRef>
          </c:cat>
          <c:val>
            <c:numRef>
              <c:f>'30'!$AE$6:$AE$27</c:f>
              <c:numCache>
                <c:formatCode>0%</c:formatCode>
                <c:ptCount val="22"/>
                <c:pt idx="0">
                  <c:v>0.40807645419714389</c:v>
                </c:pt>
                <c:pt idx="1">
                  <c:v>0.40807645419714389</c:v>
                </c:pt>
                <c:pt idx="2">
                  <c:v>0.40807645419714389</c:v>
                </c:pt>
                <c:pt idx="3">
                  <c:v>0.40807645419714389</c:v>
                </c:pt>
                <c:pt idx="4">
                  <c:v>0.40807645419714389</c:v>
                </c:pt>
                <c:pt idx="5">
                  <c:v>0.40807645419714389</c:v>
                </c:pt>
                <c:pt idx="6">
                  <c:v>0.40807645419714389</c:v>
                </c:pt>
                <c:pt idx="7">
                  <c:v>0.40807645419714389</c:v>
                </c:pt>
                <c:pt idx="8">
                  <c:v>0.40807645419714389</c:v>
                </c:pt>
                <c:pt idx="9">
                  <c:v>0.40807645419714389</c:v>
                </c:pt>
                <c:pt idx="10">
                  <c:v>0.40807645419714389</c:v>
                </c:pt>
                <c:pt idx="11">
                  <c:v>0.40807645419714389</c:v>
                </c:pt>
                <c:pt idx="12">
                  <c:v>0.40807645419714389</c:v>
                </c:pt>
                <c:pt idx="13">
                  <c:v>0.40807645419714389</c:v>
                </c:pt>
                <c:pt idx="14">
                  <c:v>0.40807645419714389</c:v>
                </c:pt>
                <c:pt idx="15">
                  <c:v>0.40807645419714389</c:v>
                </c:pt>
                <c:pt idx="16">
                  <c:v>0.40807645419714389</c:v>
                </c:pt>
                <c:pt idx="17">
                  <c:v>0.40807645419714389</c:v>
                </c:pt>
                <c:pt idx="18">
                  <c:v>0.40807645419714389</c:v>
                </c:pt>
                <c:pt idx="19">
                  <c:v>0.40807645419714389</c:v>
                </c:pt>
                <c:pt idx="20">
                  <c:v>0.40807645419714389</c:v>
                </c:pt>
                <c:pt idx="21">
                  <c:v>0.40807645419714389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D-4AFE-A6D3-581D3B0E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043-45F6-A543-01AA269E05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3-45F6-A543-01AA269E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043-45F6-A543-01AA269E05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43-45F6-A543-01AA269E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'31'!$L$6:$L$28</c:f>
              <c:numCache>
                <c:formatCode>_(* #,##0_);_(* \(#,##0\);_(* "-"_);_(@_)</c:formatCode>
                <c:ptCount val="23"/>
                <c:pt idx="1">
                  <c:v>11534</c:v>
                </c:pt>
                <c:pt idx="2">
                  <c:v>420</c:v>
                </c:pt>
                <c:pt idx="3">
                  <c:v>8120</c:v>
                </c:pt>
                <c:pt idx="4">
                  <c:v>5004</c:v>
                </c:pt>
                <c:pt idx="5">
                  <c:v>9060</c:v>
                </c:pt>
                <c:pt idx="6">
                  <c:v>2025</c:v>
                </c:pt>
                <c:pt idx="7">
                  <c:v>5035</c:v>
                </c:pt>
                <c:pt idx="8">
                  <c:v>3126</c:v>
                </c:pt>
                <c:pt idx="9">
                  <c:v>651</c:v>
                </c:pt>
                <c:pt idx="11">
                  <c:v>3676</c:v>
                </c:pt>
                <c:pt idx="12">
                  <c:v>9544</c:v>
                </c:pt>
                <c:pt idx="13">
                  <c:v>5338</c:v>
                </c:pt>
                <c:pt idx="14">
                  <c:v>6859</c:v>
                </c:pt>
                <c:pt idx="15">
                  <c:v>11036</c:v>
                </c:pt>
                <c:pt idx="16">
                  <c:v>36728</c:v>
                </c:pt>
                <c:pt idx="19">
                  <c:v>20368</c:v>
                </c:pt>
                <c:pt idx="20">
                  <c:v>25496</c:v>
                </c:pt>
                <c:pt idx="22">
                  <c:v>20295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F-4310-B293-FC4DF6AAC0C5}"/>
            </c:ext>
          </c:extLst>
        </c:ser>
        <c:ser>
          <c:idx val="1"/>
          <c:order val="1"/>
          <c:tx>
            <c:v>계획</c:v>
          </c:tx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'31'!$J$6:$J$28</c:f>
              <c:numCache>
                <c:formatCode>_(* #,##0_);_(* \(#,##0\);_(* "-"_);_(@_)</c:formatCode>
                <c:ptCount val="23"/>
                <c:pt idx="0">
                  <c:v>2771</c:v>
                </c:pt>
                <c:pt idx="1">
                  <c:v>11534</c:v>
                </c:pt>
                <c:pt idx="2">
                  <c:v>420</c:v>
                </c:pt>
                <c:pt idx="3">
                  <c:v>8120</c:v>
                </c:pt>
                <c:pt idx="4">
                  <c:v>5004</c:v>
                </c:pt>
                <c:pt idx="5">
                  <c:v>9060</c:v>
                </c:pt>
                <c:pt idx="6">
                  <c:v>2025</c:v>
                </c:pt>
                <c:pt idx="7">
                  <c:v>5035</c:v>
                </c:pt>
                <c:pt idx="8">
                  <c:v>3126</c:v>
                </c:pt>
                <c:pt idx="9">
                  <c:v>651</c:v>
                </c:pt>
                <c:pt idx="10">
                  <c:v>4832</c:v>
                </c:pt>
                <c:pt idx="11">
                  <c:v>3676</c:v>
                </c:pt>
                <c:pt idx="12">
                  <c:v>9544</c:v>
                </c:pt>
                <c:pt idx="13">
                  <c:v>5338</c:v>
                </c:pt>
                <c:pt idx="14">
                  <c:v>6859</c:v>
                </c:pt>
                <c:pt idx="15">
                  <c:v>11036</c:v>
                </c:pt>
                <c:pt idx="16">
                  <c:v>36728</c:v>
                </c:pt>
                <c:pt idx="17">
                  <c:v>0</c:v>
                </c:pt>
                <c:pt idx="18">
                  <c:v>0</c:v>
                </c:pt>
                <c:pt idx="19">
                  <c:v>20368</c:v>
                </c:pt>
                <c:pt idx="20">
                  <c:v>25496</c:v>
                </c:pt>
                <c:pt idx="21">
                  <c:v>26944</c:v>
                </c:pt>
                <c:pt idx="22">
                  <c:v>20295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F-4310-B293-FC4DF6AA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25%</c:v>
                </c:pt>
                <c:pt idx="3">
                  <c:v>71%</c:v>
                </c:pt>
                <c:pt idx="4">
                  <c:v>46%</c:v>
                </c:pt>
                <c:pt idx="5">
                  <c:v>92%</c:v>
                </c:pt>
                <c:pt idx="6">
                  <c:v>46%</c:v>
                </c:pt>
                <c:pt idx="7">
                  <c:v>100%</c:v>
                </c:pt>
                <c:pt idx="8">
                  <c:v>88%</c:v>
                </c:pt>
                <c:pt idx="9">
                  <c:v>33%</c:v>
                </c:pt>
                <c:pt idx="10">
                  <c:v>0%</c:v>
                </c:pt>
                <c:pt idx="11">
                  <c:v>38%</c:v>
                </c:pt>
                <c:pt idx="12">
                  <c:v>50%</c:v>
                </c:pt>
                <c:pt idx="13">
                  <c:v>100%</c:v>
                </c:pt>
                <c:pt idx="14">
                  <c:v>63%</c:v>
                </c:pt>
                <c:pt idx="15">
                  <c:v>100%</c:v>
                </c:pt>
                <c:pt idx="16">
                  <c:v>75%</c:v>
                </c:pt>
                <c:pt idx="17">
                  <c:v>0%</c:v>
                </c:pt>
                <c:pt idx="18">
                  <c:v>0%</c:v>
                </c:pt>
                <c:pt idx="19">
                  <c:v>83%</c:v>
                </c:pt>
                <c:pt idx="20">
                  <c:v>92%</c:v>
                </c:pt>
                <c:pt idx="21">
                  <c:v>0%</c:v>
                </c:pt>
                <c:pt idx="22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0.25</c:v>
                </c:pt>
                <c:pt idx="3">
                  <c:v>0.70833333333333337</c:v>
                </c:pt>
                <c:pt idx="4">
                  <c:v>0.45833333333333331</c:v>
                </c:pt>
                <c:pt idx="5">
                  <c:v>0.91666666666666663</c:v>
                </c:pt>
                <c:pt idx="6">
                  <c:v>0.45833333333333331</c:v>
                </c:pt>
                <c:pt idx="7">
                  <c:v>1</c:v>
                </c:pt>
                <c:pt idx="8">
                  <c:v>0.875</c:v>
                </c:pt>
                <c:pt idx="9">
                  <c:v>0.33333333333333331</c:v>
                </c:pt>
                <c:pt idx="10">
                  <c:v>0</c:v>
                </c:pt>
                <c:pt idx="11">
                  <c:v>0.375</c:v>
                </c:pt>
                <c:pt idx="12">
                  <c:v>0.5</c:v>
                </c:pt>
                <c:pt idx="13">
                  <c:v>1</c:v>
                </c:pt>
                <c:pt idx="14">
                  <c:v>0.625</c:v>
                </c:pt>
                <c:pt idx="15">
                  <c:v>1</c:v>
                </c:pt>
                <c:pt idx="16">
                  <c:v>0.75</c:v>
                </c:pt>
                <c:pt idx="17">
                  <c:v>0</c:v>
                </c:pt>
                <c:pt idx="18">
                  <c:v>0</c:v>
                </c:pt>
                <c:pt idx="19">
                  <c:v>0.83333333333333337</c:v>
                </c:pt>
                <c:pt idx="20">
                  <c:v>0.91666666666666663</c:v>
                </c:pt>
                <c:pt idx="21">
                  <c:v>0</c:v>
                </c:pt>
                <c:pt idx="22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5-4419-BBEF-39B57A2455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B5-4419-BBEF-39B57A2455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'31'!$AE$6:$AE$28</c:f>
              <c:numCache>
                <c:formatCode>0%</c:formatCode>
                <c:ptCount val="23"/>
                <c:pt idx="0">
                  <c:v>0.55978260869565222</c:v>
                </c:pt>
                <c:pt idx="1">
                  <c:v>0.55978260869565222</c:v>
                </c:pt>
                <c:pt idx="2">
                  <c:v>0.55978260869565222</c:v>
                </c:pt>
                <c:pt idx="3">
                  <c:v>0.55978260869565222</c:v>
                </c:pt>
                <c:pt idx="4">
                  <c:v>0.55978260869565222</c:v>
                </c:pt>
                <c:pt idx="5">
                  <c:v>0.55978260869565222</c:v>
                </c:pt>
                <c:pt idx="6">
                  <c:v>0.55978260869565222</c:v>
                </c:pt>
                <c:pt idx="7">
                  <c:v>0.55978260869565222</c:v>
                </c:pt>
                <c:pt idx="8">
                  <c:v>0.55978260869565222</c:v>
                </c:pt>
                <c:pt idx="9">
                  <c:v>0.55978260869565222</c:v>
                </c:pt>
                <c:pt idx="10">
                  <c:v>0.55978260869565222</c:v>
                </c:pt>
                <c:pt idx="11">
                  <c:v>0.55978260869565222</c:v>
                </c:pt>
                <c:pt idx="12">
                  <c:v>0.55978260869565222</c:v>
                </c:pt>
                <c:pt idx="13">
                  <c:v>0.55978260869565222</c:v>
                </c:pt>
                <c:pt idx="14">
                  <c:v>0.55978260869565222</c:v>
                </c:pt>
                <c:pt idx="15">
                  <c:v>0.55978260869565222</c:v>
                </c:pt>
                <c:pt idx="16">
                  <c:v>0.55978260869565222</c:v>
                </c:pt>
                <c:pt idx="17">
                  <c:v>0.55978260869565222</c:v>
                </c:pt>
                <c:pt idx="18">
                  <c:v>0.55978260869565222</c:v>
                </c:pt>
                <c:pt idx="19">
                  <c:v>0.55978260869565222</c:v>
                </c:pt>
                <c:pt idx="20">
                  <c:v>0.55978260869565222</c:v>
                </c:pt>
                <c:pt idx="21">
                  <c:v>0.55978260869565222</c:v>
                </c:pt>
                <c:pt idx="22">
                  <c:v>0.55978260869565222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5-4419-BBEF-39B57A245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'31'!$L$6:$L$28</c:f>
              <c:numCache>
                <c:formatCode>_(* #,##0_);_(* \(#,##0\);_(* "-"_);_(@_)</c:formatCode>
                <c:ptCount val="23"/>
                <c:pt idx="1">
                  <c:v>11534</c:v>
                </c:pt>
                <c:pt idx="2">
                  <c:v>420</c:v>
                </c:pt>
                <c:pt idx="3">
                  <c:v>8120</c:v>
                </c:pt>
                <c:pt idx="4">
                  <c:v>5004</c:v>
                </c:pt>
                <c:pt idx="5">
                  <c:v>9060</c:v>
                </c:pt>
                <c:pt idx="6">
                  <c:v>2025</c:v>
                </c:pt>
                <c:pt idx="7">
                  <c:v>5035</c:v>
                </c:pt>
                <c:pt idx="8">
                  <c:v>3126</c:v>
                </c:pt>
                <c:pt idx="9">
                  <c:v>651</c:v>
                </c:pt>
                <c:pt idx="11">
                  <c:v>3676</c:v>
                </c:pt>
                <c:pt idx="12">
                  <c:v>9544</c:v>
                </c:pt>
                <c:pt idx="13">
                  <c:v>5338</c:v>
                </c:pt>
                <c:pt idx="14">
                  <c:v>6859</c:v>
                </c:pt>
                <c:pt idx="15">
                  <c:v>11036</c:v>
                </c:pt>
                <c:pt idx="16">
                  <c:v>36728</c:v>
                </c:pt>
                <c:pt idx="19">
                  <c:v>20368</c:v>
                </c:pt>
                <c:pt idx="20">
                  <c:v>25496</c:v>
                </c:pt>
                <c:pt idx="22">
                  <c:v>20295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D-4E98-BCA4-FEE0EF413C2E}"/>
            </c:ext>
          </c:extLst>
        </c:ser>
        <c:ser>
          <c:idx val="1"/>
          <c:order val="1"/>
          <c:tx>
            <c:v>계획</c:v>
          </c:tx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'31'!$J$6:$J$28</c:f>
              <c:numCache>
                <c:formatCode>_(* #,##0_);_(* \(#,##0\);_(* "-"_);_(@_)</c:formatCode>
                <c:ptCount val="23"/>
                <c:pt idx="0">
                  <c:v>2771</c:v>
                </c:pt>
                <c:pt idx="1">
                  <c:v>11534</c:v>
                </c:pt>
                <c:pt idx="2">
                  <c:v>420</c:v>
                </c:pt>
                <c:pt idx="3">
                  <c:v>8120</c:v>
                </c:pt>
                <c:pt idx="4">
                  <c:v>5004</c:v>
                </c:pt>
                <c:pt idx="5">
                  <c:v>9060</c:v>
                </c:pt>
                <c:pt idx="6">
                  <c:v>2025</c:v>
                </c:pt>
                <c:pt idx="7">
                  <c:v>5035</c:v>
                </c:pt>
                <c:pt idx="8">
                  <c:v>3126</c:v>
                </c:pt>
                <c:pt idx="9">
                  <c:v>651</c:v>
                </c:pt>
                <c:pt idx="10">
                  <c:v>4832</c:v>
                </c:pt>
                <c:pt idx="11">
                  <c:v>3676</c:v>
                </c:pt>
                <c:pt idx="12">
                  <c:v>9544</c:v>
                </c:pt>
                <c:pt idx="13">
                  <c:v>5338</c:v>
                </c:pt>
                <c:pt idx="14">
                  <c:v>6859</c:v>
                </c:pt>
                <c:pt idx="15">
                  <c:v>11036</c:v>
                </c:pt>
                <c:pt idx="16">
                  <c:v>36728</c:v>
                </c:pt>
                <c:pt idx="17">
                  <c:v>0</c:v>
                </c:pt>
                <c:pt idx="18">
                  <c:v>0</c:v>
                </c:pt>
                <c:pt idx="19">
                  <c:v>20368</c:v>
                </c:pt>
                <c:pt idx="20">
                  <c:v>25496</c:v>
                </c:pt>
                <c:pt idx="21">
                  <c:v>26944</c:v>
                </c:pt>
                <c:pt idx="22">
                  <c:v>20295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D-4E98-BCA4-FEE0EF413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'31'!$AD$6:$AD$28</c:f>
              <c:strCache>
                <c:ptCount val="23"/>
                <c:pt idx="0">
                  <c:v>0%</c:v>
                </c:pt>
                <c:pt idx="1">
                  <c:v>100%</c:v>
                </c:pt>
                <c:pt idx="2">
                  <c:v>25%</c:v>
                </c:pt>
                <c:pt idx="3">
                  <c:v>71%</c:v>
                </c:pt>
                <c:pt idx="4">
                  <c:v>46%</c:v>
                </c:pt>
                <c:pt idx="5">
                  <c:v>92%</c:v>
                </c:pt>
                <c:pt idx="6">
                  <c:v>46%</c:v>
                </c:pt>
                <c:pt idx="7">
                  <c:v>100%</c:v>
                </c:pt>
                <c:pt idx="8">
                  <c:v>88%</c:v>
                </c:pt>
                <c:pt idx="9">
                  <c:v>33%</c:v>
                </c:pt>
                <c:pt idx="10">
                  <c:v>0%</c:v>
                </c:pt>
                <c:pt idx="11">
                  <c:v>38%</c:v>
                </c:pt>
                <c:pt idx="12">
                  <c:v>50%</c:v>
                </c:pt>
                <c:pt idx="13">
                  <c:v>100%</c:v>
                </c:pt>
                <c:pt idx="14">
                  <c:v>63%</c:v>
                </c:pt>
                <c:pt idx="15">
                  <c:v>100%</c:v>
                </c:pt>
                <c:pt idx="16">
                  <c:v>75%</c:v>
                </c:pt>
                <c:pt idx="17">
                  <c:v>0%</c:v>
                </c:pt>
                <c:pt idx="18">
                  <c:v>0%</c:v>
                </c:pt>
                <c:pt idx="19">
                  <c:v>83%</c:v>
                </c:pt>
                <c:pt idx="20">
                  <c:v>92%</c:v>
                </c:pt>
                <c:pt idx="21">
                  <c:v>0%</c:v>
                </c:pt>
                <c:pt idx="22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'31'!$AD$6:$AD$28</c:f>
              <c:numCache>
                <c:formatCode>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0.25</c:v>
                </c:pt>
                <c:pt idx="3">
                  <c:v>0.70833333333333337</c:v>
                </c:pt>
                <c:pt idx="4">
                  <c:v>0.45833333333333331</c:v>
                </c:pt>
                <c:pt idx="5">
                  <c:v>0.91666666666666663</c:v>
                </c:pt>
                <c:pt idx="6">
                  <c:v>0.45833333333333331</c:v>
                </c:pt>
                <c:pt idx="7">
                  <c:v>1</c:v>
                </c:pt>
                <c:pt idx="8">
                  <c:v>0.875</c:v>
                </c:pt>
                <c:pt idx="9">
                  <c:v>0.33333333333333331</c:v>
                </c:pt>
                <c:pt idx="10">
                  <c:v>0</c:v>
                </c:pt>
                <c:pt idx="11">
                  <c:v>0.375</c:v>
                </c:pt>
                <c:pt idx="12">
                  <c:v>0.5</c:v>
                </c:pt>
                <c:pt idx="13">
                  <c:v>1</c:v>
                </c:pt>
                <c:pt idx="14">
                  <c:v>0.625</c:v>
                </c:pt>
                <c:pt idx="15">
                  <c:v>1</c:v>
                </c:pt>
                <c:pt idx="16">
                  <c:v>0.75</c:v>
                </c:pt>
                <c:pt idx="17">
                  <c:v>0</c:v>
                </c:pt>
                <c:pt idx="18">
                  <c:v>0</c:v>
                </c:pt>
                <c:pt idx="19">
                  <c:v>0.83333333333333337</c:v>
                </c:pt>
                <c:pt idx="20">
                  <c:v>0.91666666666666663</c:v>
                </c:pt>
                <c:pt idx="21">
                  <c:v>0</c:v>
                </c:pt>
                <c:pt idx="22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1-4CD7-A7C0-6609BE2389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41-4CD7-A7C0-6609BE2389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'31'!$D$6:$D$28</c:f>
              <c:strCache>
                <c:ptCount val="23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SLIDER</c:v>
                </c:pt>
                <c:pt idx="4">
                  <c:v>LATCH</c:v>
                </c:pt>
                <c:pt idx="6">
                  <c:v>TOP</c:v>
                </c:pt>
                <c:pt idx="7">
                  <c:v>BASE</c:v>
                </c:pt>
                <c:pt idx="8">
                  <c:v>BOTTOM</c:v>
                </c:pt>
                <c:pt idx="9">
                  <c:v>BASE</c:v>
                </c:pt>
                <c:pt idx="10">
                  <c:v>ADAPTER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  <c:pt idx="19">
                  <c:v>LEAD GUIDER</c:v>
                </c:pt>
                <c:pt idx="20">
                  <c:v>SLIDER</c:v>
                </c:pt>
                <c:pt idx="21">
                  <c:v>COVER</c:v>
                </c:pt>
                <c:pt idx="22">
                  <c:v>BASE</c:v>
                </c:pt>
              </c:strCache>
            </c:strRef>
          </c:cat>
          <c:val>
            <c:numRef>
              <c:f>'31'!$AE$6:$AE$28</c:f>
              <c:numCache>
                <c:formatCode>0%</c:formatCode>
                <c:ptCount val="23"/>
                <c:pt idx="0">
                  <c:v>0.55978260869565222</c:v>
                </c:pt>
                <c:pt idx="1">
                  <c:v>0.55978260869565222</c:v>
                </c:pt>
                <c:pt idx="2">
                  <c:v>0.55978260869565222</c:v>
                </c:pt>
                <c:pt idx="3">
                  <c:v>0.55978260869565222</c:v>
                </c:pt>
                <c:pt idx="4">
                  <c:v>0.55978260869565222</c:v>
                </c:pt>
                <c:pt idx="5">
                  <c:v>0.55978260869565222</c:v>
                </c:pt>
                <c:pt idx="6">
                  <c:v>0.55978260869565222</c:v>
                </c:pt>
                <c:pt idx="7">
                  <c:v>0.55978260869565222</c:v>
                </c:pt>
                <c:pt idx="8">
                  <c:v>0.55978260869565222</c:v>
                </c:pt>
                <c:pt idx="9">
                  <c:v>0.55978260869565222</c:v>
                </c:pt>
                <c:pt idx="10">
                  <c:v>0.55978260869565222</c:v>
                </c:pt>
                <c:pt idx="11">
                  <c:v>0.55978260869565222</c:v>
                </c:pt>
                <c:pt idx="12">
                  <c:v>0.55978260869565222</c:v>
                </c:pt>
                <c:pt idx="13">
                  <c:v>0.55978260869565222</c:v>
                </c:pt>
                <c:pt idx="14">
                  <c:v>0.55978260869565222</c:v>
                </c:pt>
                <c:pt idx="15">
                  <c:v>0.55978260869565222</c:v>
                </c:pt>
                <c:pt idx="16">
                  <c:v>0.55978260869565222</c:v>
                </c:pt>
                <c:pt idx="17">
                  <c:v>0.55978260869565222</c:v>
                </c:pt>
                <c:pt idx="18">
                  <c:v>0.55978260869565222</c:v>
                </c:pt>
                <c:pt idx="19">
                  <c:v>0.55978260869565222</c:v>
                </c:pt>
                <c:pt idx="20">
                  <c:v>0.55978260869565222</c:v>
                </c:pt>
                <c:pt idx="21">
                  <c:v>0.55978260869565222</c:v>
                </c:pt>
                <c:pt idx="22">
                  <c:v>0.55978260869565222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1-4CD7-A7C0-6609BE238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08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F01-4BB9-BB50-3AA0373564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1-4BB9-BB50-3AA037356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F01-4BB9-BB50-3AA0373564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01-4BB9-BB50-3AA037356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08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1">
                  <c:v>0.42424242424242425</c:v>
                </c:pt>
                <c:pt idx="2">
                  <c:v>0.28804347826086957</c:v>
                </c:pt>
                <c:pt idx="3">
                  <c:v>0.26325757575757575</c:v>
                </c:pt>
                <c:pt idx="4">
                  <c:v>0.2705302764508497</c:v>
                </c:pt>
                <c:pt idx="5">
                  <c:v>0.42613636363636365</c:v>
                </c:pt>
                <c:pt idx="8">
                  <c:v>0.34848484848484851</c:v>
                </c:pt>
                <c:pt idx="9">
                  <c:v>0.31060606060606061</c:v>
                </c:pt>
                <c:pt idx="10">
                  <c:v>0.1992753623188406</c:v>
                </c:pt>
                <c:pt idx="11">
                  <c:v>0.1992753623188406</c:v>
                </c:pt>
                <c:pt idx="12">
                  <c:v>0.31521739130434784</c:v>
                </c:pt>
                <c:pt idx="16">
                  <c:v>0.35795454545454547</c:v>
                </c:pt>
                <c:pt idx="17">
                  <c:v>0.38257575757575757</c:v>
                </c:pt>
                <c:pt idx="18">
                  <c:v>0.37310606060606061</c:v>
                </c:pt>
                <c:pt idx="19">
                  <c:v>0.43229166666666669</c:v>
                </c:pt>
                <c:pt idx="20">
                  <c:v>0.40217391304347827</c:v>
                </c:pt>
                <c:pt idx="22">
                  <c:v>0.36330667293970048</c:v>
                </c:pt>
                <c:pt idx="23">
                  <c:v>0.37673611111111116</c:v>
                </c:pt>
                <c:pt idx="24">
                  <c:v>0.42210144927536236</c:v>
                </c:pt>
                <c:pt idx="25">
                  <c:v>0.36775362318840582</c:v>
                </c:pt>
                <c:pt idx="26">
                  <c:v>0.42970408101388635</c:v>
                </c:pt>
                <c:pt idx="27">
                  <c:v>0.58224495460962045</c:v>
                </c:pt>
                <c:pt idx="29">
                  <c:v>0.40807645419714389</c:v>
                </c:pt>
                <c:pt idx="30">
                  <c:v>0.55978260869565222</c:v>
                </c:pt>
                <c:pt idx="31">
                  <c:v>0.2742863561857552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08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총괄!$A$3:$A$24</c:f>
              <c:strCache>
                <c:ptCount val="22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  <c:pt idx="16">
                  <c:v>31호기</c:v>
                </c:pt>
                <c:pt idx="17">
                  <c:v>32호기</c:v>
                </c:pt>
                <c:pt idx="18">
                  <c:v>33호기</c:v>
                </c:pt>
                <c:pt idx="19">
                  <c:v>34호기</c:v>
                </c:pt>
                <c:pt idx="20">
                  <c:v>35호기</c:v>
                </c:pt>
                <c:pt idx="21">
                  <c:v>36호기</c:v>
                </c:pt>
              </c:strCache>
            </c:strRef>
          </c:cat>
          <c:val>
            <c:numRef>
              <c:f>총괄!$AG$3:$AG$24</c:f>
              <c:numCache>
                <c:formatCode>0%</c:formatCode>
                <c:ptCount val="22"/>
                <c:pt idx="0">
                  <c:v>0.12768817204301078</c:v>
                </c:pt>
                <c:pt idx="1">
                  <c:v>0.56854838709677424</c:v>
                </c:pt>
                <c:pt idx="2">
                  <c:v>0.35080645161290319</c:v>
                </c:pt>
                <c:pt idx="3">
                  <c:v>0.50998029036811776</c:v>
                </c:pt>
                <c:pt idx="4">
                  <c:v>0.5261617846990484</c:v>
                </c:pt>
                <c:pt idx="5">
                  <c:v>0.36021505376344087</c:v>
                </c:pt>
                <c:pt idx="6">
                  <c:v>0.73118279569892475</c:v>
                </c:pt>
                <c:pt idx="7">
                  <c:v>0.61290322580645162</c:v>
                </c:pt>
                <c:pt idx="8">
                  <c:v>0.10483870967741936</c:v>
                </c:pt>
                <c:pt idx="9">
                  <c:v>1.4784946236559139E-2</c:v>
                </c:pt>
                <c:pt idx="10">
                  <c:v>0.55286654919471645</c:v>
                </c:pt>
                <c:pt idx="11">
                  <c:v>0.1317204301075269</c:v>
                </c:pt>
                <c:pt idx="12">
                  <c:v>0.25169978980277885</c:v>
                </c:pt>
                <c:pt idx="13">
                  <c:v>0.55241935483870963</c:v>
                </c:pt>
                <c:pt idx="14">
                  <c:v>0.19086021505376344</c:v>
                </c:pt>
                <c:pt idx="15">
                  <c:v>0.47849462365591394</c:v>
                </c:pt>
                <c:pt idx="16">
                  <c:v>0</c:v>
                </c:pt>
                <c:pt idx="17">
                  <c:v>0</c:v>
                </c:pt>
                <c:pt idx="18">
                  <c:v>2.6881720430107527E-2</c:v>
                </c:pt>
                <c:pt idx="19">
                  <c:v>7.1500877311378053E-2</c:v>
                </c:pt>
                <c:pt idx="20">
                  <c:v>0</c:v>
                </c:pt>
                <c:pt idx="21">
                  <c:v>5.779569892473118E-2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7.xml"/><Relationship Id="rId1" Type="http://schemas.openxmlformats.org/officeDocument/2006/relationships/chart" Target="../charts/chart1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5653B1B-A522-4600-9A0E-4A3D4011B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41B02DB-819E-474C-BE78-0F8269FA2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952BBC-B3C6-438E-B81F-3D316BCE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B1388D5-346F-4B86-8EBE-7591546C0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34E370D-7398-4E63-9BA7-4E90D6121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0A77214-040D-4229-88A9-67EED335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917DA19-4751-4FC2-86C3-498EAEEDC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55F3CF-A623-45B9-9562-3546BBDB6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96206EB-E0CC-460D-9327-8753A2C8F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FB67938-4804-44D8-BF24-D116ABE9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8F36D3A-B239-43DD-9457-B9DBAC806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E60C8E5-2D1E-4C7E-B29B-2681BCA25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A06CF31-5AFF-4012-AB04-656AE90C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AC43281-23FC-42D0-A807-97A8E1A10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B15748D-4DF6-466F-83DC-508C75737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2C098C4-9C63-46A9-B9BB-155C26CB3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7756EAE-1DE5-42C3-8E0F-43362DB9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59FA8B2-8F74-4388-81C2-A2D61552F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8C9A517-886D-4219-BFF9-60A8F0D68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8B0359F-7896-49FF-B2B4-86D1A9C0F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4518B05-4779-4452-B401-F7020F157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BFAA0E2-282C-406A-B13E-4A5C3C25F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58734C3-9258-4E27-84F9-3A909A70C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032D5E2-9326-46D1-B6AB-D246CE44F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2F3B720-C384-4368-9924-80DF36BC6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AEB09BB-0F97-4F55-BA09-36D925251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F75967A-DF02-4166-A4DD-1082176A0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252FBBD-8BBF-42FD-B24A-5AED9D5D0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F72700-0072-4B35-BA29-2060CCE34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715339-FD73-4989-B083-82AA15C91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B656588-8593-42DC-A75B-F366784D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998DC01-B0DA-490B-A633-1EB1C6DD7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FBC6AB9-DF2F-45AE-8C5F-59E8884AB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2F368B1-5BBB-42FB-A321-94C8A568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B60C634-3930-40B6-BD8B-CA8E2E76B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20CF9D2-7E8C-4540-A178-D4DBB6909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0A8A10-322C-4FB6-9EDD-226EEBFCF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EC99AA2-0DD2-45F9-9441-888A04D4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F76D01-0275-4461-A2B9-CFABE3751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33C864-5AE3-4306-9ABC-9A78B05BB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5F11998-94D6-4D82-BAF2-03477BBF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A0FB6E4-0703-4064-8FC9-060662ADD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AD8175-F417-4EA3-B925-9B6AD29C1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E6E8D4F-B1DF-4549-887A-BE2ACC45B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D15F158-10F5-444A-8C94-88F40227C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D1C1792-6926-4D24-9D94-CDC867832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BDDC34-A03C-4193-8EA7-80FA50BF5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CAB64CD-FBD1-4CFC-A9D2-EFFB717DE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EEEDBD1-366D-48ED-8C21-E1DCC830F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881326-64FB-4FFA-AAB0-D4CC371A0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063EF4C-226E-431B-952F-5A36A8D0A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A91B6C5-527F-4492-8FC0-D4CE358B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1A28C0D-037C-4A90-892C-C0425C56A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BFF4930-BCE7-4D8C-AEB7-EA002FE0D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BA8A504-79D5-4B87-A923-FCBB5B1C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C8DBDEE-256C-4169-A74A-7F796D4EE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A384B4C-C4B7-4A20-B16C-98E6B77C0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63D1FB3-2E78-467A-851C-9BD78EF35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6DD8D25-3D8F-4426-B7E5-65683D5FF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A0EA651-B50E-4918-BD0A-EF51A18DB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75F0C6A-65A3-4598-82CC-CF21E1884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F46754F-D6A7-4FDC-A732-755EA9D1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3BC8531-FE29-4A40-BE07-E98758B15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8124A0B-AA9F-4031-AFE6-F049AC6B8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E0F202B-5F63-4C4E-A14E-B46A25D02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EEF220C-9ED7-4451-B3E6-E9CFA60AE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83BB5C4-D0CA-4323-8480-C1472DF54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296D7B6-FDBB-40E8-9081-18CB50C58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193C45C-C64B-4CF9-8229-2B0BD34A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FFA4D72-5695-4E1F-8873-E3B5256D8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9554CA6-82DC-4BD7-A955-AF40470B0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0316405-DDEC-44D2-AD48-9820CE41B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A634182-3646-47A1-9965-A77113EB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D616202-C469-42E3-AB8A-FAF9F4BCD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FFDC4D9-49F3-4F96-AEE5-30C3C2144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3718F99-4FC7-4ABB-B355-5CDF074F9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9F0B549-5A18-48D1-B3E9-7C1D0B7E2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5F1F8BC-6B72-49C9-83E0-5F7D4E76D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E5858C1-78C1-4A6B-9E22-8ED39AFAA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CF8CD71-5870-4F50-B297-FA2BDCE9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D7C2A63-594B-458D-8942-56A9DAFE0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386123B-0203-412D-900B-462C2AD3E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3C6363F-E6E5-4915-844F-F10C49D74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BF0DD4F-03D3-414C-8B8E-6FECE21C4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DDAEBD-A6F2-493C-9E90-E87C053F0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E85E197-D463-4D74-BE86-4E1A00B78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2124657-764D-41E3-A362-9B235160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FD09991-5639-4747-AD72-C18670631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D3C3BDC-CB81-4F48-BAD1-1F10885E5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5AE9A6B-1DC2-4EF6-8D9A-3E7C5005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78C8257-BADC-44A7-A148-668AAA85D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61391DF-F74D-4CB5-B07A-763B60A20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5AD613A-BA0D-46C1-8D3A-DE961B6F9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8D3341A-C538-42F7-BB00-65B040DC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A1369AD-3232-4F65-B111-0563AFDDF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86E0892-D863-4BB8-807F-C5ACFEE80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0260D72-3073-4666-98C9-F36E0F6C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DFAE0C6-379F-4648-9116-17C82EF4B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7880562-D11D-415C-BF25-DE451C273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953C3F0-867D-4851-89D7-706838096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2D3356D-9169-4639-A8E3-15AAC7F5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C474107-7B81-4C4A-9F27-BBAC4A125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09E26F5-078D-47B2-AAEC-F38F061E1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DF8719E-358F-4C86-BA34-039930D6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916B264-E41E-4C6E-8823-60864530A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D0E6ED-5A89-413E-95DD-8481311A6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8DD570-7438-415D-B81D-A589181F7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CC366B1-39DF-42B4-AC12-754C794A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95E5C0D-851A-4C3E-A8BF-9D43DEC07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7D945A2-CCDF-46B4-8025-5B68437BB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18FF5E5-4C9B-4A17-AF88-EE0ADD000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DF0F8AC-4C0D-4B8D-A109-2E9AAC69A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BAAE3A-2DE0-4D4F-93BA-743B3BA97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0E417C0-690B-4A15-95CA-DCA8376A2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42A23AC-550B-4FC7-AEEE-831C2FF4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32</xdr:row>
      <xdr:rowOff>0</xdr:rowOff>
    </xdr:from>
    <xdr:to>
      <xdr:col>12</xdr:col>
      <xdr:colOff>1199028</xdr:colOff>
      <xdr:row>45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0952ED4-08BE-4018-AF66-6ADC53555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29</xdr:col>
      <xdr:colOff>457200</xdr:colOff>
      <xdr:row>45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6D2FDB7-98C4-434A-A84D-09326B660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14F9CD0-4B87-4EE2-9F17-E5E999B6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46</xdr:row>
      <xdr:rowOff>0</xdr:rowOff>
    </xdr:from>
    <xdr:to>
      <xdr:col>29</xdr:col>
      <xdr:colOff>476250</xdr:colOff>
      <xdr:row>54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BCD6F7E-5B4C-4EE2-A4BE-B2891204F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AAB54F-3F76-4DA8-A01D-3303E039B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F750ED-5E94-461A-8393-F7C27C814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F19728F-F70A-4CEF-A4E3-BC24D606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63F6FC1-04E6-4C83-AF7C-DED7639D8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D08C3CE-B454-4F7B-A997-724F8744D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38B8499-EFDC-4370-9861-78E61F82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9266F32-DE3B-4EC3-99E7-B25ACA0C8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39B856-AC67-43F9-A52B-0E4E45F80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F357B0B-656D-489E-8D05-CDA20DDC0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2507B43-4A75-4605-8739-D2A797FF4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C43B56F-5111-48A7-AF68-FDED746BB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0AA8BE5-2A16-41C2-95BD-A7A4B1EF0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BD98E57-8B0B-4CA7-B5AE-11F29AE0A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E2546F3-5F8F-4581-B365-4ECF8F257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3DB06D-7625-41E4-97C8-9C7E24EDA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99BD64-C32B-487E-A555-756E0EB36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FC99B39-2ADA-4305-8D69-19A35DB3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CD9E502-9662-467D-8641-6112787A9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036E611-0031-4FD2-AAF1-956C34F91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DB92EAC-3D89-4CCD-9DC4-F4E533AC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6E35AC5-BDB2-43BA-84DC-56CC4BCB0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F9AB0C-1BC7-4BA9-A500-10722E027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1D33D14-F542-4891-9478-C4869F4BC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FA58A6D-168E-4A37-A92E-D08A15CF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3FE9F9-9ACD-4319-A6F2-3C25006AF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7D6C487-90E4-4BAC-8FE4-36C7AF41A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8E3CC25-BBA0-42EA-9CD8-DEEC90148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A1B82FC-EBB8-4951-897C-72D48767E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BF8D860-303A-45E6-B139-799DB714B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132851-56AE-4BE9-9CC0-8A9DEFB0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80DA130-EAAC-4232-AF13-EE16ABDB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16D0EE-8A19-48D1-8A36-F5342BA65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D322920-2C89-4ACB-8AC0-11A9A3FA3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33DFD23-BB16-4E32-9158-89761DA7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5380A1E-3E6D-45F7-AB89-AB76C89D2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261CCB2-5E14-48B8-A5E5-6E6B591B1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BE192E1-1FB3-4149-B88A-47499E0EC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A5200DC-18DC-40A2-8D95-9124E6933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3F4AB4-2BEF-439A-B6DC-0F458BC17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7C56B88-AA34-4318-8869-533AA2980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70BAD78-F5B1-4A54-8EB4-64C690DFC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9DE22BD-CB13-43FE-9DCB-8056C32E0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104775</xdr:rowOff>
    </xdr:from>
    <xdr:to>
      <xdr:col>16</xdr:col>
      <xdr:colOff>66675</xdr:colOff>
      <xdr:row>38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26</xdr:row>
      <xdr:rowOff>123825</xdr:rowOff>
    </xdr:from>
    <xdr:to>
      <xdr:col>32</xdr:col>
      <xdr:colOff>371474</xdr:colOff>
      <xdr:row>38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DEE9-8228-4973-B9E3-C3CC55FD2915}">
  <sheetPr>
    <pageSetUpPr fitToPage="1"/>
  </sheetPr>
  <dimension ref="A1:AF93"/>
  <sheetViews>
    <sheetView view="pageBreakPreview" zoomScale="70" zoomScaleNormal="72" zoomScaleSheetLayoutView="70" workbookViewId="0">
      <selection activeCell="X13" sqref="X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186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16" t="s">
        <v>17</v>
      </c>
      <c r="L5" s="116" t="s">
        <v>18</v>
      </c>
      <c r="M5" s="116" t="s">
        <v>19</v>
      </c>
      <c r="N5" s="1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129</v>
      </c>
      <c r="D6" s="52" t="s">
        <v>146</v>
      </c>
      <c r="E6" s="53" t="s">
        <v>188</v>
      </c>
      <c r="F6" s="30" t="s">
        <v>148</v>
      </c>
      <c r="G6" s="12">
        <v>1</v>
      </c>
      <c r="H6" s="13">
        <v>24</v>
      </c>
      <c r="I6" s="31">
        <v>1000</v>
      </c>
      <c r="J6" s="14">
        <v>1166</v>
      </c>
      <c r="K6" s="15">
        <f>L6</f>
        <v>1166</v>
      </c>
      <c r="L6" s="15">
        <v>1166</v>
      </c>
      <c r="M6" s="15">
        <f t="shared" ref="M6:M27" si="0">L6-N6</f>
        <v>1166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6</v>
      </c>
      <c r="Q6" s="40">
        <f t="shared" ref="Q6:Q27" si="3">SUM(R6:AA6)</f>
        <v>18</v>
      </c>
      <c r="R6" s="7"/>
      <c r="S6" s="6"/>
      <c r="T6" s="16"/>
      <c r="U6" s="16"/>
      <c r="V6" s="17"/>
      <c r="W6" s="5">
        <v>18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0.25</v>
      </c>
      <c r="AD6" s="10">
        <f t="shared" ref="AD6:AD27" si="6">AC6*AB6*(1-O6)</f>
        <v>0.25</v>
      </c>
      <c r="AE6" s="36">
        <f t="shared" ref="AE6:AE27" si="7">$AD$28</f>
        <v>0.42424242424242425</v>
      </c>
      <c r="AF6" s="81">
        <f t="shared" ref="AF6:AF27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2</v>
      </c>
      <c r="H7" s="13">
        <v>24</v>
      </c>
      <c r="I7" s="31">
        <v>29000</v>
      </c>
      <c r="J7" s="14">
        <v>11086</v>
      </c>
      <c r="K7" s="15">
        <f>L7+6066</f>
        <v>17152</v>
      </c>
      <c r="L7" s="15">
        <f>2618*2+2925*2</f>
        <v>11086</v>
      </c>
      <c r="M7" s="15">
        <f t="shared" si="0"/>
        <v>11086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0.42424242424242425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116</v>
      </c>
      <c r="D8" s="52" t="s">
        <v>121</v>
      </c>
      <c r="E8" s="53" t="s">
        <v>189</v>
      </c>
      <c r="F8" s="30" t="s">
        <v>144</v>
      </c>
      <c r="G8" s="12">
        <v>1</v>
      </c>
      <c r="H8" s="13">
        <v>24</v>
      </c>
      <c r="I8" s="7">
        <v>500</v>
      </c>
      <c r="J8" s="14">
        <v>500</v>
      </c>
      <c r="K8" s="15">
        <f>L8</f>
        <v>500</v>
      </c>
      <c r="L8" s="15">
        <v>500</v>
      </c>
      <c r="M8" s="15">
        <f t="shared" si="0"/>
        <v>500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/>
      <c r="T8" s="16"/>
      <c r="U8" s="16"/>
      <c r="V8" s="17"/>
      <c r="W8" s="5">
        <v>21</v>
      </c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6"/>
        <v>0.125</v>
      </c>
      <c r="AE8" s="36">
        <f t="shared" si="7"/>
        <v>0.42424242424242425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154</v>
      </c>
      <c r="E9" s="53" t="s">
        <v>160</v>
      </c>
      <c r="F9" s="30" t="s">
        <v>161</v>
      </c>
      <c r="G9" s="12">
        <v>1</v>
      </c>
      <c r="H9" s="13">
        <v>24</v>
      </c>
      <c r="I9" s="7">
        <v>36000</v>
      </c>
      <c r="J9" s="14">
        <v>5267</v>
      </c>
      <c r="K9" s="15">
        <f>L9+2149+1588+3170+3177+1793+2296+5336+5578+5627+5418</f>
        <v>41399</v>
      </c>
      <c r="L9" s="15">
        <f>2481+2786</f>
        <v>5267</v>
      </c>
      <c r="M9" s="15">
        <f t="shared" si="0"/>
        <v>5267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0.42424242424242425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147</v>
      </c>
      <c r="E10" s="53" t="s">
        <v>190</v>
      </c>
      <c r="F10" s="30" t="s">
        <v>130</v>
      </c>
      <c r="G10" s="33">
        <v>2</v>
      </c>
      <c r="H10" s="35">
        <v>24</v>
      </c>
      <c r="I10" s="7">
        <v>2000</v>
      </c>
      <c r="J10" s="14">
        <v>2358</v>
      </c>
      <c r="K10" s="15">
        <f>L10</f>
        <v>2358</v>
      </c>
      <c r="L10" s="15">
        <f>1179*2</f>
        <v>2358</v>
      </c>
      <c r="M10" s="15">
        <f t="shared" si="0"/>
        <v>2358</v>
      </c>
      <c r="N10" s="15">
        <v>0</v>
      </c>
      <c r="O10" s="58">
        <f t="shared" si="1"/>
        <v>0</v>
      </c>
      <c r="P10" s="39">
        <f t="shared" si="2"/>
        <v>6</v>
      </c>
      <c r="Q10" s="40">
        <f t="shared" si="3"/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si="4"/>
        <v>1</v>
      </c>
      <c r="AC10" s="9">
        <f t="shared" si="5"/>
        <v>0.25</v>
      </c>
      <c r="AD10" s="10">
        <f t="shared" si="6"/>
        <v>0.25</v>
      </c>
      <c r="AE10" s="36">
        <f t="shared" si="7"/>
        <v>0.42424242424242425</v>
      </c>
      <c r="AF10" s="81">
        <f t="shared" si="8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170</v>
      </c>
      <c r="E11" s="53" t="s">
        <v>191</v>
      </c>
      <c r="F11" s="30" t="s">
        <v>141</v>
      </c>
      <c r="G11" s="33">
        <v>1</v>
      </c>
      <c r="H11" s="35">
        <v>24</v>
      </c>
      <c r="I11" s="7">
        <v>2000</v>
      </c>
      <c r="J11" s="14">
        <v>2532</v>
      </c>
      <c r="K11" s="15">
        <f>L11</f>
        <v>2532</v>
      </c>
      <c r="L11" s="15">
        <f>1232+1300</f>
        <v>2532</v>
      </c>
      <c r="M11" s="15">
        <f t="shared" si="0"/>
        <v>2532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/>
      <c r="T11" s="16"/>
      <c r="U11" s="16"/>
      <c r="V11" s="17"/>
      <c r="W11" s="5">
        <v>12</v>
      </c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0.42424242424242425</v>
      </c>
      <c r="AF11" s="81">
        <f t="shared" si="8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v>70000</v>
      </c>
      <c r="J12" s="5">
        <v>5075</v>
      </c>
      <c r="K12" s="15">
        <f>L12+5056+5299+5142+4725+5285+5308+3502+5153</f>
        <v>44545</v>
      </c>
      <c r="L12" s="15">
        <f>2655+2420</f>
        <v>5075</v>
      </c>
      <c r="M12" s="15">
        <f t="shared" si="0"/>
        <v>5075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0.42424242424242425</v>
      </c>
      <c r="AF12" s="81">
        <f t="shared" si="8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166</v>
      </c>
      <c r="F13" s="30" t="s">
        <v>123</v>
      </c>
      <c r="G13" s="33">
        <v>2</v>
      </c>
      <c r="H13" s="35">
        <v>22</v>
      </c>
      <c r="I13" s="7">
        <v>30000</v>
      </c>
      <c r="J13" s="14">
        <v>12380</v>
      </c>
      <c r="K13" s="15">
        <f>L13+6708+13390+13428+13596+13436</f>
        <v>72938</v>
      </c>
      <c r="L13" s="15">
        <f>3098*2+3092*2</f>
        <v>12380</v>
      </c>
      <c r="M13" s="15">
        <f t="shared" si="0"/>
        <v>12380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0.42424242424242425</v>
      </c>
      <c r="AF13" s="81">
        <f t="shared" si="8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167</v>
      </c>
      <c r="F14" s="30" t="s">
        <v>165</v>
      </c>
      <c r="G14" s="33">
        <v>1</v>
      </c>
      <c r="H14" s="35">
        <v>30</v>
      </c>
      <c r="I14" s="7">
        <v>3500</v>
      </c>
      <c r="J14" s="5">
        <v>1144</v>
      </c>
      <c r="K14" s="15">
        <f>L14+1335+1471+1250+714</f>
        <v>5914</v>
      </c>
      <c r="L14" s="15">
        <f>1144</f>
        <v>1144</v>
      </c>
      <c r="M14" s="15">
        <f t="shared" si="0"/>
        <v>1144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/>
      <c r="T14" s="16"/>
      <c r="U14" s="16"/>
      <c r="V14" s="17">
        <v>14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6">
        <f t="shared" si="7"/>
        <v>0.42424242424242425</v>
      </c>
      <c r="AF14" s="81">
        <f t="shared" si="8"/>
        <v>9</v>
      </c>
    </row>
    <row r="15" spans="1:32" ht="27" customHeight="1">
      <c r="A15" s="92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0.42424242424242425</v>
      </c>
      <c r="AF15" s="81">
        <f t="shared" si="8"/>
        <v>10</v>
      </c>
    </row>
    <row r="16" spans="1:32" ht="27" customHeight="1">
      <c r="A16" s="107">
        <v>11</v>
      </c>
      <c r="B16" s="11" t="s">
        <v>57</v>
      </c>
      <c r="C16" s="34" t="s">
        <v>142</v>
      </c>
      <c r="D16" s="52"/>
      <c r="E16" s="53" t="s">
        <v>153</v>
      </c>
      <c r="F16" s="30" t="s">
        <v>143</v>
      </c>
      <c r="G16" s="12">
        <v>32</v>
      </c>
      <c r="H16" s="13">
        <v>24</v>
      </c>
      <c r="I16" s="7">
        <v>2000000</v>
      </c>
      <c r="J16" s="14">
        <v>318112</v>
      </c>
      <c r="K16" s="15">
        <f>L16+305888+365184+357152+391744+392352+402688</f>
        <v>2533120</v>
      </c>
      <c r="L16" s="15">
        <f>6145*32+3796*32</f>
        <v>318112</v>
      </c>
      <c r="M16" s="15">
        <f t="shared" si="0"/>
        <v>318112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0.42424242424242425</v>
      </c>
      <c r="AF16" s="81">
        <f t="shared" si="8"/>
        <v>11</v>
      </c>
    </row>
    <row r="17" spans="1:32" ht="27" customHeight="1">
      <c r="A17" s="92">
        <v>12</v>
      </c>
      <c r="B17" s="11" t="s">
        <v>57</v>
      </c>
      <c r="C17" s="34" t="s">
        <v>129</v>
      </c>
      <c r="D17" s="52" t="s">
        <v>162</v>
      </c>
      <c r="E17" s="53" t="s">
        <v>163</v>
      </c>
      <c r="F17" s="30" t="s">
        <v>148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0.42424242424242425</v>
      </c>
      <c r="AF17" s="81">
        <f t="shared" si="8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171</v>
      </c>
      <c r="F18" s="30" t="s">
        <v>144</v>
      </c>
      <c r="G18" s="12">
        <v>2</v>
      </c>
      <c r="H18" s="13">
        <v>22</v>
      </c>
      <c r="I18" s="31">
        <v>30000</v>
      </c>
      <c r="J18" s="5">
        <v>11326</v>
      </c>
      <c r="K18" s="15">
        <f>L18+9826+11714+9940+10864</f>
        <v>53670</v>
      </c>
      <c r="L18" s="15">
        <f>2972*2+2691*2</f>
        <v>11326</v>
      </c>
      <c r="M18" s="15">
        <f t="shared" si="0"/>
        <v>11326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0.42424242424242425</v>
      </c>
      <c r="AF18" s="81">
        <f t="shared" si="8"/>
        <v>13</v>
      </c>
    </row>
    <row r="19" spans="1:32" ht="27" customHeight="1">
      <c r="A19" s="93">
        <v>14</v>
      </c>
      <c r="B19" s="11" t="s">
        <v>57</v>
      </c>
      <c r="C19" s="34" t="s">
        <v>175</v>
      </c>
      <c r="D19" s="52" t="s">
        <v>176</v>
      </c>
      <c r="E19" s="53" t="s">
        <v>174</v>
      </c>
      <c r="F19" s="30" t="s">
        <v>177</v>
      </c>
      <c r="G19" s="12">
        <v>1</v>
      </c>
      <c r="H19" s="13">
        <v>24</v>
      </c>
      <c r="I19" s="7">
        <v>5000</v>
      </c>
      <c r="J19" s="14">
        <v>5975</v>
      </c>
      <c r="K19" s="15">
        <f>L19+4914+5257</f>
        <v>16146</v>
      </c>
      <c r="L19" s="15">
        <f>3288+2687</f>
        <v>5975</v>
      </c>
      <c r="M19" s="15">
        <f t="shared" si="0"/>
        <v>5975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0.42424242424242425</v>
      </c>
      <c r="AF19" s="81">
        <f t="shared" si="8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24856</v>
      </c>
      <c r="K20" s="15">
        <f>L20+16424+3460+8466+14048+14809+10420+6468+20028+25064+24256+18744+23224+19112+21656+19860</f>
        <v>270895</v>
      </c>
      <c r="L20" s="15">
        <f>3228*4+2986*4</f>
        <v>24856</v>
      </c>
      <c r="M20" s="15">
        <f t="shared" si="0"/>
        <v>24856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0.42424242424242425</v>
      </c>
      <c r="AF20" s="81">
        <f t="shared" si="8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159</v>
      </c>
      <c r="F21" s="12" t="s">
        <v>114</v>
      </c>
      <c r="G21" s="12">
        <v>4</v>
      </c>
      <c r="H21" s="35">
        <v>20</v>
      </c>
      <c r="I21" s="7">
        <v>300000</v>
      </c>
      <c r="J21" s="14">
        <v>8901</v>
      </c>
      <c r="K21" s="15">
        <f>L21+30164+39608+36320+8901</f>
        <v>114993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0.42424242424242425</v>
      </c>
      <c r="AF21" s="81">
        <f t="shared" si="8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0.42424242424242425</v>
      </c>
      <c r="AF22" s="81">
        <f t="shared" si="8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0.42424242424242425</v>
      </c>
      <c r="AF23" s="81">
        <f t="shared" si="8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0.42424242424242425</v>
      </c>
      <c r="AF24" s="81">
        <f t="shared" si="8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0.42424242424242425</v>
      </c>
      <c r="AF25" s="81">
        <f t="shared" si="8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0.42424242424242425</v>
      </c>
      <c r="AF26" s="81">
        <f t="shared" si="8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0.42424242424242425</v>
      </c>
      <c r="AF27" s="81">
        <f t="shared" si="8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3163000</v>
      </c>
      <c r="J28" s="19">
        <f t="shared" si="10"/>
        <v>522993</v>
      </c>
      <c r="K28" s="20">
        <f t="shared" si="10"/>
        <v>3546539</v>
      </c>
      <c r="L28" s="21">
        <f t="shared" si="10"/>
        <v>401777</v>
      </c>
      <c r="M28" s="20">
        <f t="shared" si="10"/>
        <v>401777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224</v>
      </c>
      <c r="Q28" s="43">
        <f t="shared" si="11"/>
        <v>304</v>
      </c>
      <c r="R28" s="23">
        <f t="shared" si="11"/>
        <v>0</v>
      </c>
      <c r="S28" s="24">
        <f t="shared" si="11"/>
        <v>5</v>
      </c>
      <c r="T28" s="24">
        <f t="shared" si="11"/>
        <v>0</v>
      </c>
      <c r="U28" s="24">
        <f t="shared" si="11"/>
        <v>0</v>
      </c>
      <c r="V28" s="25">
        <f t="shared" si="11"/>
        <v>38</v>
      </c>
      <c r="W28" s="26">
        <f t="shared" si="11"/>
        <v>261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0.65</v>
      </c>
      <c r="AC28" s="4">
        <f>AVERAGE(AC6:AC27)</f>
        <v>0.42424242424242425</v>
      </c>
      <c r="AD28" s="4">
        <f>AVERAGE(AD6:AD27)</f>
        <v>0.42424242424242425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192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201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117" t="s">
        <v>46</v>
      </c>
      <c r="D57" s="117" t="s">
        <v>47</v>
      </c>
      <c r="E57" s="117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117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129</v>
      </c>
      <c r="B58" s="411"/>
      <c r="C58" s="119" t="s">
        <v>152</v>
      </c>
      <c r="D58" s="119" t="s">
        <v>156</v>
      </c>
      <c r="E58" s="129" t="s">
        <v>155</v>
      </c>
      <c r="F58" s="412" t="s">
        <v>122</v>
      </c>
      <c r="G58" s="413"/>
      <c r="H58" s="413"/>
      <c r="I58" s="413"/>
      <c r="J58" s="413"/>
      <c r="K58" s="413"/>
      <c r="L58" s="413"/>
      <c r="M58" s="414"/>
      <c r="N58" s="118" t="s">
        <v>129</v>
      </c>
      <c r="O58" s="125" t="s">
        <v>151</v>
      </c>
      <c r="P58" s="415" t="s">
        <v>157</v>
      </c>
      <c r="Q58" s="416"/>
      <c r="R58" s="415" t="s">
        <v>202</v>
      </c>
      <c r="S58" s="417"/>
      <c r="T58" s="417"/>
      <c r="U58" s="416"/>
      <c r="V58" s="412" t="s">
        <v>122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129</v>
      </c>
      <c r="B59" s="411"/>
      <c r="C59" s="129" t="s">
        <v>151</v>
      </c>
      <c r="D59" s="129" t="s">
        <v>115</v>
      </c>
      <c r="E59" s="129" t="s">
        <v>179</v>
      </c>
      <c r="F59" s="412" t="s">
        <v>193</v>
      </c>
      <c r="G59" s="413"/>
      <c r="H59" s="413"/>
      <c r="I59" s="413"/>
      <c r="J59" s="413"/>
      <c r="K59" s="413"/>
      <c r="L59" s="413"/>
      <c r="M59" s="414"/>
      <c r="N59" s="118" t="s">
        <v>129</v>
      </c>
      <c r="O59" s="125" t="s">
        <v>180</v>
      </c>
      <c r="P59" s="415" t="s">
        <v>115</v>
      </c>
      <c r="Q59" s="416"/>
      <c r="R59" s="415" t="s">
        <v>179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116</v>
      </c>
      <c r="B60" s="411"/>
      <c r="C60" s="119" t="s">
        <v>151</v>
      </c>
      <c r="D60" s="119" t="s">
        <v>121</v>
      </c>
      <c r="E60" s="119" t="s">
        <v>189</v>
      </c>
      <c r="F60" s="412" t="s">
        <v>149</v>
      </c>
      <c r="G60" s="413"/>
      <c r="H60" s="413"/>
      <c r="I60" s="413"/>
      <c r="J60" s="413"/>
      <c r="K60" s="413"/>
      <c r="L60" s="413"/>
      <c r="M60" s="414"/>
      <c r="N60" s="118" t="s">
        <v>204</v>
      </c>
      <c r="O60" s="125" t="s">
        <v>205</v>
      </c>
      <c r="P60" s="415" t="s">
        <v>206</v>
      </c>
      <c r="Q60" s="416"/>
      <c r="R60" s="415" t="s">
        <v>203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129</v>
      </c>
      <c r="B61" s="411"/>
      <c r="C61" s="129" t="s">
        <v>181</v>
      </c>
      <c r="D61" s="129" t="s">
        <v>147</v>
      </c>
      <c r="E61" s="129" t="s">
        <v>190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118"/>
      <c r="O61" s="125"/>
      <c r="P61" s="415"/>
      <c r="Q61" s="416"/>
      <c r="R61" s="415"/>
      <c r="S61" s="417"/>
      <c r="T61" s="417"/>
      <c r="U61" s="416"/>
      <c r="V61" s="412"/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129" t="s">
        <v>150</v>
      </c>
      <c r="D62" s="129" t="s">
        <v>115</v>
      </c>
      <c r="E62" s="129" t="s">
        <v>167</v>
      </c>
      <c r="F62" s="412" t="s">
        <v>149</v>
      </c>
      <c r="G62" s="413"/>
      <c r="H62" s="413"/>
      <c r="I62" s="413"/>
      <c r="J62" s="413"/>
      <c r="K62" s="413"/>
      <c r="L62" s="413"/>
      <c r="M62" s="414"/>
      <c r="N62" s="118"/>
      <c r="O62" s="125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116</v>
      </c>
      <c r="B63" s="411"/>
      <c r="C63" s="119" t="s">
        <v>195</v>
      </c>
      <c r="D63" s="119" t="s">
        <v>196</v>
      </c>
      <c r="E63" s="119" t="s">
        <v>194</v>
      </c>
      <c r="F63" s="412" t="s">
        <v>149</v>
      </c>
      <c r="G63" s="413"/>
      <c r="H63" s="413"/>
      <c r="I63" s="413"/>
      <c r="J63" s="413"/>
      <c r="K63" s="413"/>
      <c r="L63" s="413"/>
      <c r="M63" s="414"/>
      <c r="N63" s="118"/>
      <c r="O63" s="125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199</v>
      </c>
      <c r="B64" s="411"/>
      <c r="C64" s="119" t="s">
        <v>200</v>
      </c>
      <c r="D64" s="119"/>
      <c r="E64" s="119" t="s">
        <v>197</v>
      </c>
      <c r="F64" s="412" t="s">
        <v>198</v>
      </c>
      <c r="G64" s="413"/>
      <c r="H64" s="413"/>
      <c r="I64" s="413"/>
      <c r="J64" s="413"/>
      <c r="K64" s="413"/>
      <c r="L64" s="413"/>
      <c r="M64" s="414"/>
      <c r="N64" s="118"/>
      <c r="O64" s="125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122"/>
      <c r="D65" s="122"/>
      <c r="E65" s="119"/>
      <c r="F65" s="412"/>
      <c r="G65" s="413"/>
      <c r="H65" s="413"/>
      <c r="I65" s="413"/>
      <c r="J65" s="413"/>
      <c r="K65" s="413"/>
      <c r="L65" s="413"/>
      <c r="M65" s="414"/>
      <c r="N65" s="118"/>
      <c r="O65" s="125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22"/>
      <c r="D66" s="122"/>
      <c r="E66" s="119"/>
      <c r="F66" s="412"/>
      <c r="G66" s="413"/>
      <c r="H66" s="413"/>
      <c r="I66" s="413"/>
      <c r="J66" s="413"/>
      <c r="K66" s="413"/>
      <c r="L66" s="413"/>
      <c r="M66" s="414"/>
      <c r="N66" s="118"/>
      <c r="O66" s="125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120"/>
      <c r="D67" s="121"/>
      <c r="E67" s="120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207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123" t="s">
        <v>2</v>
      </c>
      <c r="D69" s="123" t="s">
        <v>37</v>
      </c>
      <c r="E69" s="123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123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173</v>
      </c>
      <c r="D70" s="127"/>
      <c r="E70" s="124" t="s">
        <v>146</v>
      </c>
      <c r="F70" s="437" t="s">
        <v>172</v>
      </c>
      <c r="G70" s="438"/>
      <c r="H70" s="438"/>
      <c r="I70" s="438"/>
      <c r="J70" s="438"/>
      <c r="K70" s="438" t="s">
        <v>145</v>
      </c>
      <c r="L70" s="438"/>
      <c r="M70" s="51" t="s">
        <v>182</v>
      </c>
      <c r="N70" s="439" t="s">
        <v>152</v>
      </c>
      <c r="O70" s="439"/>
      <c r="P70" s="440">
        <v>50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183</v>
      </c>
      <c r="D71" s="127"/>
      <c r="E71" s="124" t="s">
        <v>115</v>
      </c>
      <c r="F71" s="437" t="s">
        <v>208</v>
      </c>
      <c r="G71" s="438"/>
      <c r="H71" s="438"/>
      <c r="I71" s="438"/>
      <c r="J71" s="438"/>
      <c r="K71" s="438" t="s">
        <v>209</v>
      </c>
      <c r="L71" s="438"/>
      <c r="M71" s="51" t="s">
        <v>210</v>
      </c>
      <c r="N71" s="439" t="s">
        <v>151</v>
      </c>
      <c r="O71" s="439"/>
      <c r="P71" s="440">
        <v>30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112</v>
      </c>
      <c r="D72" s="127"/>
      <c r="E72" s="124" t="s">
        <v>115</v>
      </c>
      <c r="F72" s="437" t="s">
        <v>211</v>
      </c>
      <c r="G72" s="438"/>
      <c r="H72" s="438"/>
      <c r="I72" s="438"/>
      <c r="J72" s="438"/>
      <c r="K72" s="438" t="s">
        <v>123</v>
      </c>
      <c r="L72" s="438"/>
      <c r="M72" s="51" t="s">
        <v>184</v>
      </c>
      <c r="N72" s="439" t="s">
        <v>185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 t="s">
        <v>212</v>
      </c>
      <c r="D73" s="127"/>
      <c r="E73" s="124" t="s">
        <v>196</v>
      </c>
      <c r="F73" s="443" t="s">
        <v>194</v>
      </c>
      <c r="G73" s="444"/>
      <c r="H73" s="444"/>
      <c r="I73" s="444"/>
      <c r="J73" s="445"/>
      <c r="K73" s="438">
        <v>7301</v>
      </c>
      <c r="L73" s="438"/>
      <c r="M73" s="51" t="s">
        <v>213</v>
      </c>
      <c r="N73" s="439" t="s">
        <v>185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127"/>
      <c r="E74" s="124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127"/>
      <c r="E75" s="124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127"/>
      <c r="E76" s="124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127"/>
      <c r="E77" s="124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127"/>
      <c r="E78" s="124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127"/>
      <c r="E79" s="124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214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126" t="s">
        <v>2</v>
      </c>
      <c r="D81" s="126" t="s">
        <v>37</v>
      </c>
      <c r="E81" s="126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128"/>
      <c r="D82" s="128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127"/>
      <c r="D83" s="127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127"/>
      <c r="D84" s="127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127"/>
      <c r="D85" s="127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127"/>
      <c r="D86" s="127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127"/>
      <c r="D87" s="127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127"/>
      <c r="D88" s="127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215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BE7D-B525-4992-ADB7-AC06B7B1974B}">
  <sheetPr>
    <pageSetUpPr fitToPage="1"/>
  </sheetPr>
  <dimension ref="A1:AF94"/>
  <sheetViews>
    <sheetView view="pageBreakPreview" zoomScale="70" zoomScaleNormal="72" zoomScaleSheetLayoutView="70" workbookViewId="0">
      <selection activeCell="K77" sqref="K77:L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216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42" t="s">
        <v>17</v>
      </c>
      <c r="L5" s="142" t="s">
        <v>18</v>
      </c>
      <c r="M5" s="142" t="s">
        <v>19</v>
      </c>
      <c r="N5" s="1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129</v>
      </c>
      <c r="D6" s="52" t="s">
        <v>146</v>
      </c>
      <c r="E6" s="53" t="s">
        <v>188</v>
      </c>
      <c r="F6" s="30" t="s">
        <v>148</v>
      </c>
      <c r="G6" s="12">
        <v>1</v>
      </c>
      <c r="H6" s="13">
        <v>24</v>
      </c>
      <c r="I6" s="31">
        <v>1000</v>
      </c>
      <c r="J6" s="14">
        <v>1166</v>
      </c>
      <c r="K6" s="15">
        <f>L6+1166</f>
        <v>1166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18</v>
      </c>
      <c r="R6" s="7"/>
      <c r="S6" s="6"/>
      <c r="T6" s="16"/>
      <c r="U6" s="16"/>
      <c r="V6" s="17"/>
      <c r="W6" s="5">
        <v>18</v>
      </c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 t="shared" ref="AD6:AD28" si="6">AC6*AB6*(1-O6)</f>
        <v>0</v>
      </c>
      <c r="AE6" s="36">
        <f t="shared" ref="AE6:AE28" si="7">$AD$29</f>
        <v>0.28804347826086957</v>
      </c>
      <c r="AF6" s="81">
        <f t="shared" ref="AF6:AF28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2</v>
      </c>
      <c r="H7" s="13">
        <v>24</v>
      </c>
      <c r="I7" s="31">
        <v>29000</v>
      </c>
      <c r="J7" s="14">
        <v>11600</v>
      </c>
      <c r="K7" s="15">
        <f>L7+6066+11086</f>
        <v>28752</v>
      </c>
      <c r="L7" s="15">
        <f>2904*2+2896*2</f>
        <v>11600</v>
      </c>
      <c r="M7" s="15">
        <f t="shared" si="0"/>
        <v>11600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0.28804347826086957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129</v>
      </c>
      <c r="D8" s="52" t="s">
        <v>115</v>
      </c>
      <c r="E8" s="53" t="s">
        <v>217</v>
      </c>
      <c r="F8" s="30" t="s">
        <v>144</v>
      </c>
      <c r="G8" s="12">
        <v>1</v>
      </c>
      <c r="H8" s="13">
        <v>24</v>
      </c>
      <c r="I8" s="7">
        <v>1000</v>
      </c>
      <c r="J8" s="14">
        <v>1400</v>
      </c>
      <c r="K8" s="15">
        <f>L8</f>
        <v>1400</v>
      </c>
      <c r="L8" s="15">
        <v>1400</v>
      </c>
      <c r="M8" s="15">
        <f t="shared" si="0"/>
        <v>1400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0.28804347826086957</v>
      </c>
      <c r="AF8" s="81">
        <f t="shared" si="8"/>
        <v>3</v>
      </c>
    </row>
    <row r="9" spans="1:32" ht="27" customHeight="1">
      <c r="A9" s="107">
        <v>3</v>
      </c>
      <c r="B9" s="11" t="s">
        <v>57</v>
      </c>
      <c r="C9" s="34" t="s">
        <v>129</v>
      </c>
      <c r="D9" s="52" t="s">
        <v>157</v>
      </c>
      <c r="E9" s="53" t="s">
        <v>218</v>
      </c>
      <c r="F9" s="30" t="s">
        <v>144</v>
      </c>
      <c r="G9" s="12">
        <v>1</v>
      </c>
      <c r="H9" s="13">
        <v>24</v>
      </c>
      <c r="I9" s="7">
        <v>1000</v>
      </c>
      <c r="J9" s="14">
        <v>1839</v>
      </c>
      <c r="K9" s="15">
        <f>L9</f>
        <v>1839</v>
      </c>
      <c r="L9" s="15">
        <f>706+1133</f>
        <v>1839</v>
      </c>
      <c r="M9" s="15">
        <f t="shared" ref="M9" si="9">L9-N9</f>
        <v>1839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9</v>
      </c>
      <c r="Q9" s="40">
        <f t="shared" ref="Q9" si="12">SUM(R9:AA9)</f>
        <v>15</v>
      </c>
      <c r="R9" s="7"/>
      <c r="S9" s="6"/>
      <c r="T9" s="16"/>
      <c r="U9" s="16"/>
      <c r="V9" s="17"/>
      <c r="W9" s="5">
        <v>15</v>
      </c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0.375</v>
      </c>
      <c r="AD9" s="10">
        <f t="shared" ref="AD9" si="15">AC9*AB9*(1-O9)</f>
        <v>0.375</v>
      </c>
      <c r="AE9" s="36">
        <f t="shared" si="7"/>
        <v>0.28804347826086957</v>
      </c>
      <c r="AF9" s="81">
        <f t="shared" ref="AF9" si="16">A9</f>
        <v>3</v>
      </c>
    </row>
    <row r="10" spans="1:32" ht="27" customHeight="1">
      <c r="A10" s="93">
        <v>4</v>
      </c>
      <c r="B10" s="11" t="s">
        <v>57</v>
      </c>
      <c r="C10" s="34" t="s">
        <v>116</v>
      </c>
      <c r="D10" s="52" t="s">
        <v>154</v>
      </c>
      <c r="E10" s="53" t="s">
        <v>160</v>
      </c>
      <c r="F10" s="30" t="s">
        <v>161</v>
      </c>
      <c r="G10" s="12">
        <v>1</v>
      </c>
      <c r="H10" s="13">
        <v>24</v>
      </c>
      <c r="I10" s="7">
        <v>36000</v>
      </c>
      <c r="J10" s="14">
        <v>1019</v>
      </c>
      <c r="K10" s="15">
        <f>L10+2149+1588+3170+3177+1793+2296+5336+5578+5627+5418+5267</f>
        <v>42418</v>
      </c>
      <c r="L10" s="15">
        <v>1019</v>
      </c>
      <c r="M10" s="15">
        <f t="shared" si="0"/>
        <v>1019</v>
      </c>
      <c r="N10" s="15">
        <v>0</v>
      </c>
      <c r="O10" s="58">
        <f t="shared" si="1"/>
        <v>0</v>
      </c>
      <c r="P10" s="39">
        <f t="shared" si="2"/>
        <v>5</v>
      </c>
      <c r="Q10" s="40">
        <f t="shared" si="3"/>
        <v>19</v>
      </c>
      <c r="R10" s="7"/>
      <c r="S10" s="6">
        <v>19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0.20833333333333334</v>
      </c>
      <c r="AD10" s="10">
        <f t="shared" si="6"/>
        <v>0.20833333333333334</v>
      </c>
      <c r="AE10" s="36">
        <f t="shared" si="7"/>
        <v>0.28804347826086957</v>
      </c>
      <c r="AF10" s="81">
        <f t="shared" si="8"/>
        <v>4</v>
      </c>
    </row>
    <row r="11" spans="1:32" ht="27" customHeight="1">
      <c r="A11" s="93">
        <v>5</v>
      </c>
      <c r="B11" s="11" t="s">
        <v>57</v>
      </c>
      <c r="C11" s="11" t="s">
        <v>129</v>
      </c>
      <c r="D11" s="52" t="s">
        <v>147</v>
      </c>
      <c r="E11" s="53" t="s">
        <v>190</v>
      </c>
      <c r="F11" s="30" t="s">
        <v>130</v>
      </c>
      <c r="G11" s="33">
        <v>2</v>
      </c>
      <c r="H11" s="35">
        <v>24</v>
      </c>
      <c r="I11" s="7">
        <v>2000</v>
      </c>
      <c r="J11" s="14">
        <v>2358</v>
      </c>
      <c r="K11" s="15">
        <f>L11+2358</f>
        <v>2358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0.28804347826086957</v>
      </c>
      <c r="AF11" s="81">
        <f t="shared" si="8"/>
        <v>5</v>
      </c>
    </row>
    <row r="12" spans="1:32" ht="27" customHeight="1">
      <c r="A12" s="93">
        <v>6</v>
      </c>
      <c r="B12" s="11" t="s">
        <v>57</v>
      </c>
      <c r="C12" s="11" t="s">
        <v>116</v>
      </c>
      <c r="D12" s="52" t="s">
        <v>170</v>
      </c>
      <c r="E12" s="53" t="s">
        <v>191</v>
      </c>
      <c r="F12" s="30" t="s">
        <v>141</v>
      </c>
      <c r="G12" s="33">
        <v>1</v>
      </c>
      <c r="H12" s="35">
        <v>24</v>
      </c>
      <c r="I12" s="7">
        <v>2000</v>
      </c>
      <c r="J12" s="14">
        <v>2532</v>
      </c>
      <c r="K12" s="15">
        <f>L12+2532</f>
        <v>2532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0.28804347826086957</v>
      </c>
      <c r="AF12" s="81">
        <f t="shared" si="8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v>70000</v>
      </c>
      <c r="J13" s="5">
        <v>5268</v>
      </c>
      <c r="K13" s="15">
        <f>L13+5056+5299+5142+4725+5285+5308+3502+5153+5075</f>
        <v>49813</v>
      </c>
      <c r="L13" s="15">
        <f>2637+2631</f>
        <v>5268</v>
      </c>
      <c r="M13" s="15">
        <f t="shared" si="0"/>
        <v>5268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0.28804347826086957</v>
      </c>
      <c r="AF13" s="81">
        <f t="shared" si="8"/>
        <v>7</v>
      </c>
    </row>
    <row r="14" spans="1:32" ht="27" customHeight="1">
      <c r="A14" s="93">
        <v>8</v>
      </c>
      <c r="B14" s="11" t="s">
        <v>57</v>
      </c>
      <c r="C14" s="11" t="s">
        <v>112</v>
      </c>
      <c r="D14" s="52" t="s">
        <v>154</v>
      </c>
      <c r="E14" s="53" t="s">
        <v>203</v>
      </c>
      <c r="F14" s="30" t="s">
        <v>123</v>
      </c>
      <c r="G14" s="33">
        <v>4</v>
      </c>
      <c r="H14" s="35">
        <v>22</v>
      </c>
      <c r="I14" s="7">
        <v>100000</v>
      </c>
      <c r="J14" s="14">
        <v>15812</v>
      </c>
      <c r="K14" s="15">
        <f>L14</f>
        <v>15812</v>
      </c>
      <c r="L14" s="15">
        <f>3953*4</f>
        <v>15812</v>
      </c>
      <c r="M14" s="15">
        <f t="shared" si="0"/>
        <v>15812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>
        <v>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 t="shared" si="6"/>
        <v>0.625</v>
      </c>
      <c r="AE14" s="36">
        <f t="shared" si="7"/>
        <v>0.28804347826086957</v>
      </c>
      <c r="AF14" s="81">
        <f t="shared" si="8"/>
        <v>8</v>
      </c>
    </row>
    <row r="15" spans="1:32" ht="27" customHeight="1">
      <c r="A15" s="100">
        <v>9</v>
      </c>
      <c r="B15" s="11" t="s">
        <v>57</v>
      </c>
      <c r="C15" s="34" t="s">
        <v>112</v>
      </c>
      <c r="D15" s="52" t="s">
        <v>115</v>
      </c>
      <c r="E15" s="53" t="s">
        <v>167</v>
      </c>
      <c r="F15" s="30" t="s">
        <v>165</v>
      </c>
      <c r="G15" s="33">
        <v>1</v>
      </c>
      <c r="H15" s="35">
        <v>30</v>
      </c>
      <c r="I15" s="7">
        <v>3500</v>
      </c>
      <c r="J15" s="5">
        <v>1166</v>
      </c>
      <c r="K15" s="15">
        <f>L15+1335+1471+1250+714+1144</f>
        <v>7080</v>
      </c>
      <c r="L15" s="15">
        <v>1166</v>
      </c>
      <c r="M15" s="15">
        <f t="shared" si="0"/>
        <v>1166</v>
      </c>
      <c r="N15" s="15">
        <v>0</v>
      </c>
      <c r="O15" s="58">
        <f t="shared" si="1"/>
        <v>0</v>
      </c>
      <c r="P15" s="39">
        <f t="shared" si="2"/>
        <v>10</v>
      </c>
      <c r="Q15" s="40">
        <f t="shared" si="3"/>
        <v>14</v>
      </c>
      <c r="R15" s="7"/>
      <c r="S15" s="6"/>
      <c r="T15" s="16"/>
      <c r="U15" s="16"/>
      <c r="V15" s="17">
        <v>14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6">
        <f t="shared" si="7"/>
        <v>0.28804347826086957</v>
      </c>
      <c r="AF15" s="81">
        <f t="shared" si="8"/>
        <v>9</v>
      </c>
    </row>
    <row r="16" spans="1:32" ht="27" customHeight="1">
      <c r="A16" s="92">
        <v>10</v>
      </c>
      <c r="B16" s="11" t="s">
        <v>57</v>
      </c>
      <c r="C16" s="34" t="s">
        <v>116</v>
      </c>
      <c r="D16" s="52" t="s">
        <v>121</v>
      </c>
      <c r="E16" s="53" t="s">
        <v>127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0.28804347826086957</v>
      </c>
      <c r="AF16" s="81">
        <f t="shared" si="8"/>
        <v>10</v>
      </c>
    </row>
    <row r="17" spans="1:32" ht="27" customHeight="1">
      <c r="A17" s="107">
        <v>11</v>
      </c>
      <c r="B17" s="11" t="s">
        <v>57</v>
      </c>
      <c r="C17" s="34" t="s">
        <v>142</v>
      </c>
      <c r="D17" s="52"/>
      <c r="E17" s="53" t="s">
        <v>153</v>
      </c>
      <c r="F17" s="30" t="s">
        <v>143</v>
      </c>
      <c r="G17" s="12">
        <v>32</v>
      </c>
      <c r="H17" s="13">
        <v>24</v>
      </c>
      <c r="I17" s="7">
        <v>2000000</v>
      </c>
      <c r="J17" s="14">
        <v>317730</v>
      </c>
      <c r="K17" s="15">
        <f>L17+305888+365184+357152+391744+392352+402688+318112</f>
        <v>2850850</v>
      </c>
      <c r="L17" s="15">
        <f>5850*30+4741*30</f>
        <v>317730</v>
      </c>
      <c r="M17" s="15">
        <f t="shared" si="0"/>
        <v>317730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>
        <v>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7"/>
        <v>0.28804347826086957</v>
      </c>
      <c r="AF17" s="81">
        <f t="shared" si="8"/>
        <v>11</v>
      </c>
    </row>
    <row r="18" spans="1:32" ht="27" customHeight="1">
      <c r="A18" s="92">
        <v>12</v>
      </c>
      <c r="B18" s="11" t="s">
        <v>57</v>
      </c>
      <c r="C18" s="34" t="s">
        <v>129</v>
      </c>
      <c r="D18" s="52" t="s">
        <v>162</v>
      </c>
      <c r="E18" s="53" t="s">
        <v>163</v>
      </c>
      <c r="F18" s="30" t="s">
        <v>148</v>
      </c>
      <c r="G18" s="12">
        <v>1</v>
      </c>
      <c r="H18" s="13">
        <v>24</v>
      </c>
      <c r="I18" s="7">
        <v>2000</v>
      </c>
      <c r="J18" s="14">
        <v>4211</v>
      </c>
      <c r="K18" s="15">
        <f>L18+4211</f>
        <v>4211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0.28804347826086957</v>
      </c>
      <c r="AF18" s="81">
        <f t="shared" si="8"/>
        <v>12</v>
      </c>
    </row>
    <row r="19" spans="1:32" ht="27" customHeight="1">
      <c r="A19" s="93">
        <v>13</v>
      </c>
      <c r="B19" s="11" t="s">
        <v>57</v>
      </c>
      <c r="C19" s="34" t="s">
        <v>112</v>
      </c>
      <c r="D19" s="52" t="s">
        <v>115</v>
      </c>
      <c r="E19" s="53" t="s">
        <v>171</v>
      </c>
      <c r="F19" s="30" t="s">
        <v>144</v>
      </c>
      <c r="G19" s="12">
        <v>2</v>
      </c>
      <c r="H19" s="13">
        <v>22</v>
      </c>
      <c r="I19" s="31">
        <v>30000</v>
      </c>
      <c r="J19" s="5">
        <v>11326</v>
      </c>
      <c r="K19" s="15">
        <f>L19+9826+11714+9940+10864+11326</f>
        <v>53670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0.28804347826086957</v>
      </c>
      <c r="AF19" s="81">
        <f t="shared" si="8"/>
        <v>13</v>
      </c>
    </row>
    <row r="20" spans="1:32" ht="27" customHeight="1">
      <c r="A20" s="93">
        <v>14</v>
      </c>
      <c r="B20" s="11" t="s">
        <v>57</v>
      </c>
      <c r="C20" s="34" t="s">
        <v>175</v>
      </c>
      <c r="D20" s="52" t="s">
        <v>176</v>
      </c>
      <c r="E20" s="53" t="s">
        <v>174</v>
      </c>
      <c r="F20" s="30" t="s">
        <v>177</v>
      </c>
      <c r="G20" s="12">
        <v>1</v>
      </c>
      <c r="H20" s="13">
        <v>24</v>
      </c>
      <c r="I20" s="7">
        <v>5000</v>
      </c>
      <c r="J20" s="14">
        <v>6395</v>
      </c>
      <c r="K20" s="15">
        <f>L20+4914+5257+5975</f>
        <v>22541</v>
      </c>
      <c r="L20" s="15">
        <f>3094+3301</f>
        <v>6395</v>
      </c>
      <c r="M20" s="15">
        <f t="shared" si="0"/>
        <v>6395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0.28804347826086957</v>
      </c>
      <c r="AF20" s="81">
        <f t="shared" si="8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128</v>
      </c>
      <c r="E21" s="53" t="s">
        <v>158</v>
      </c>
      <c r="F21" s="30" t="s">
        <v>124</v>
      </c>
      <c r="G21" s="33">
        <v>4</v>
      </c>
      <c r="H21" s="35">
        <v>24</v>
      </c>
      <c r="I21" s="7">
        <v>360000</v>
      </c>
      <c r="J21" s="14">
        <v>20332</v>
      </c>
      <c r="K21" s="15">
        <f>L21+16424+3460+8466+14048+14809+10420+6468+20028+25064+24256+18744+23224+19112+21656+19860+24856</f>
        <v>291227</v>
      </c>
      <c r="L21" s="15">
        <f>2280*4+2803*4</f>
        <v>20332</v>
      </c>
      <c r="M21" s="15">
        <f t="shared" si="0"/>
        <v>20332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0.28804347826086957</v>
      </c>
      <c r="AF21" s="81">
        <f t="shared" si="8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159</v>
      </c>
      <c r="F22" s="12" t="s">
        <v>114</v>
      </c>
      <c r="G22" s="12">
        <v>4</v>
      </c>
      <c r="H22" s="35">
        <v>20</v>
      </c>
      <c r="I22" s="7">
        <v>300000</v>
      </c>
      <c r="J22" s="14">
        <v>8901</v>
      </c>
      <c r="K22" s="15">
        <f>L22+30164+39608+36320+8901</f>
        <v>114993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0.28804347826086957</v>
      </c>
      <c r="AF22" s="81">
        <f t="shared" si="8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0.28804347826086957</v>
      </c>
      <c r="AF23" s="81">
        <f t="shared" si="8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0.28804347826086957</v>
      </c>
      <c r="AF24" s="81">
        <f t="shared" si="8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0.28804347826086957</v>
      </c>
      <c r="AF25" s="81">
        <f t="shared" si="8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0.28804347826086957</v>
      </c>
      <c r="AF26" s="81">
        <f t="shared" si="8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0.28804347826086957</v>
      </c>
      <c r="AF27" s="81">
        <f t="shared" si="8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0.28804347826086957</v>
      </c>
      <c r="AF28" s="81">
        <f t="shared" si="8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8">SUM(I6:I28)</f>
        <v>3234500</v>
      </c>
      <c r="J29" s="19">
        <f t="shared" si="18"/>
        <v>521159</v>
      </c>
      <c r="K29" s="20">
        <f t="shared" si="18"/>
        <v>3855662</v>
      </c>
      <c r="L29" s="21">
        <f t="shared" si="18"/>
        <v>382561</v>
      </c>
      <c r="M29" s="20">
        <f t="shared" si="18"/>
        <v>382561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159</v>
      </c>
      <c r="Q29" s="43">
        <f t="shared" si="19"/>
        <v>387</v>
      </c>
      <c r="R29" s="23">
        <f t="shared" si="19"/>
        <v>0</v>
      </c>
      <c r="S29" s="24">
        <f t="shared" si="19"/>
        <v>35</v>
      </c>
      <c r="T29" s="24">
        <f t="shared" si="19"/>
        <v>0</v>
      </c>
      <c r="U29" s="24">
        <f t="shared" si="19"/>
        <v>0</v>
      </c>
      <c r="V29" s="25">
        <f t="shared" si="19"/>
        <v>38</v>
      </c>
      <c r="W29" s="26">
        <f t="shared" si="19"/>
        <v>314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0</v>
      </c>
      <c r="AB29" s="28">
        <f>AVERAGE(AB6:AB28)</f>
        <v>0.47619047619047616</v>
      </c>
      <c r="AC29" s="4">
        <f>AVERAGE(AC6:AC28)</f>
        <v>0.28804347826086957</v>
      </c>
      <c r="AD29" s="4">
        <f>AVERAGE(AD6:AD28)</f>
        <v>0.28804347826086957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219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227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141" t="s">
        <v>46</v>
      </c>
      <c r="D58" s="141" t="s">
        <v>47</v>
      </c>
      <c r="E58" s="141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141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129</v>
      </c>
      <c r="B59" s="411"/>
      <c r="C59" s="137" t="s">
        <v>151</v>
      </c>
      <c r="D59" s="137" t="s">
        <v>157</v>
      </c>
      <c r="E59" s="150" t="s">
        <v>202</v>
      </c>
      <c r="F59" s="412" t="s">
        <v>122</v>
      </c>
      <c r="G59" s="413"/>
      <c r="H59" s="413"/>
      <c r="I59" s="413"/>
      <c r="J59" s="413"/>
      <c r="K59" s="413"/>
      <c r="L59" s="413"/>
      <c r="M59" s="414"/>
      <c r="N59" s="140" t="s">
        <v>173</v>
      </c>
      <c r="O59" s="134" t="s">
        <v>152</v>
      </c>
      <c r="P59" s="415" t="s">
        <v>146</v>
      </c>
      <c r="Q59" s="416"/>
      <c r="R59" s="415" t="s">
        <v>228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129</v>
      </c>
      <c r="B60" s="411"/>
      <c r="C60" s="137" t="s">
        <v>151</v>
      </c>
      <c r="D60" s="137" t="s">
        <v>115</v>
      </c>
      <c r="E60" s="137" t="s">
        <v>179</v>
      </c>
      <c r="F60" s="412" t="s">
        <v>220</v>
      </c>
      <c r="G60" s="413"/>
      <c r="H60" s="413"/>
      <c r="I60" s="413"/>
      <c r="J60" s="413"/>
      <c r="K60" s="413"/>
      <c r="L60" s="413"/>
      <c r="M60" s="414"/>
      <c r="N60" s="140" t="s">
        <v>116</v>
      </c>
      <c r="O60" s="134" t="s">
        <v>230</v>
      </c>
      <c r="P60" s="415" t="s">
        <v>131</v>
      </c>
      <c r="Q60" s="416"/>
      <c r="R60" s="415" t="s">
        <v>229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142</v>
      </c>
      <c r="B61" s="411"/>
      <c r="C61" s="150" t="s">
        <v>200</v>
      </c>
      <c r="D61" s="150"/>
      <c r="E61" s="150" t="s">
        <v>153</v>
      </c>
      <c r="F61" s="412" t="s">
        <v>221</v>
      </c>
      <c r="G61" s="413"/>
      <c r="H61" s="413"/>
      <c r="I61" s="413"/>
      <c r="J61" s="413"/>
      <c r="K61" s="413"/>
      <c r="L61" s="413"/>
      <c r="M61" s="414"/>
      <c r="N61" s="140" t="s">
        <v>222</v>
      </c>
      <c r="O61" s="134" t="s">
        <v>223</v>
      </c>
      <c r="P61" s="415" t="s">
        <v>224</v>
      </c>
      <c r="Q61" s="416"/>
      <c r="R61" s="415" t="s">
        <v>225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222</v>
      </c>
      <c r="B62" s="411"/>
      <c r="C62" s="137" t="s">
        <v>223</v>
      </c>
      <c r="D62" s="137" t="s">
        <v>224</v>
      </c>
      <c r="E62" s="137" t="s">
        <v>225</v>
      </c>
      <c r="F62" s="412" t="s">
        <v>226</v>
      </c>
      <c r="G62" s="413"/>
      <c r="H62" s="413"/>
      <c r="I62" s="413"/>
      <c r="J62" s="413"/>
      <c r="K62" s="413"/>
      <c r="L62" s="413"/>
      <c r="M62" s="414"/>
      <c r="N62" s="140" t="s">
        <v>240</v>
      </c>
      <c r="O62" s="134" t="s">
        <v>241</v>
      </c>
      <c r="P62" s="415"/>
      <c r="Q62" s="416"/>
      <c r="R62" s="415" t="s">
        <v>239</v>
      </c>
      <c r="S62" s="417"/>
      <c r="T62" s="417"/>
      <c r="U62" s="416"/>
      <c r="V62" s="412" t="s">
        <v>122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231</v>
      </c>
      <c r="B63" s="411"/>
      <c r="C63" s="137" t="s">
        <v>232</v>
      </c>
      <c r="D63" s="137" t="s">
        <v>233</v>
      </c>
      <c r="E63" s="137" t="s">
        <v>234</v>
      </c>
      <c r="F63" s="412" t="s">
        <v>235</v>
      </c>
      <c r="G63" s="413"/>
      <c r="H63" s="413"/>
      <c r="I63" s="413"/>
      <c r="J63" s="413"/>
      <c r="K63" s="413"/>
      <c r="L63" s="413"/>
      <c r="M63" s="414"/>
      <c r="N63" s="140"/>
      <c r="O63" s="134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222</v>
      </c>
      <c r="B64" s="411"/>
      <c r="C64" s="137" t="s">
        <v>236</v>
      </c>
      <c r="D64" s="137" t="s">
        <v>237</v>
      </c>
      <c r="E64" s="137" t="s">
        <v>238</v>
      </c>
      <c r="F64" s="412" t="s">
        <v>220</v>
      </c>
      <c r="G64" s="413"/>
      <c r="H64" s="413"/>
      <c r="I64" s="413"/>
      <c r="J64" s="413"/>
      <c r="K64" s="413"/>
      <c r="L64" s="413"/>
      <c r="M64" s="414"/>
      <c r="N64" s="140"/>
      <c r="O64" s="134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/>
      <c r="B65" s="411"/>
      <c r="C65" s="137"/>
      <c r="D65" s="137"/>
      <c r="E65" s="137"/>
      <c r="F65" s="412"/>
      <c r="G65" s="413"/>
      <c r="H65" s="413"/>
      <c r="I65" s="413"/>
      <c r="J65" s="413"/>
      <c r="K65" s="413"/>
      <c r="L65" s="413"/>
      <c r="M65" s="414"/>
      <c r="N65" s="140"/>
      <c r="O65" s="134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36"/>
      <c r="D66" s="136"/>
      <c r="E66" s="137"/>
      <c r="F66" s="412"/>
      <c r="G66" s="413"/>
      <c r="H66" s="413"/>
      <c r="I66" s="413"/>
      <c r="J66" s="413"/>
      <c r="K66" s="413"/>
      <c r="L66" s="413"/>
      <c r="M66" s="414"/>
      <c r="N66" s="140"/>
      <c r="O66" s="134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136"/>
      <c r="D67" s="136"/>
      <c r="E67" s="137"/>
      <c r="F67" s="412"/>
      <c r="G67" s="413"/>
      <c r="H67" s="413"/>
      <c r="I67" s="413"/>
      <c r="J67" s="413"/>
      <c r="K67" s="413"/>
      <c r="L67" s="413"/>
      <c r="M67" s="414"/>
      <c r="N67" s="140"/>
      <c r="O67" s="134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138"/>
      <c r="D68" s="139"/>
      <c r="E68" s="138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242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135" t="s">
        <v>2</v>
      </c>
      <c r="D70" s="135" t="s">
        <v>37</v>
      </c>
      <c r="E70" s="135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135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246</v>
      </c>
      <c r="D71" s="130"/>
      <c r="E71" s="133" t="s">
        <v>237</v>
      </c>
      <c r="F71" s="437" t="s">
        <v>243</v>
      </c>
      <c r="G71" s="438"/>
      <c r="H71" s="438"/>
      <c r="I71" s="438"/>
      <c r="J71" s="438"/>
      <c r="K71" s="438">
        <v>7301</v>
      </c>
      <c r="L71" s="438"/>
      <c r="M71" s="51" t="s">
        <v>247</v>
      </c>
      <c r="N71" s="439" t="s">
        <v>248</v>
      </c>
      <c r="O71" s="439"/>
      <c r="P71" s="440">
        <v>200</v>
      </c>
      <c r="Q71" s="440"/>
      <c r="R71" s="441" t="s">
        <v>249</v>
      </c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231</v>
      </c>
      <c r="D72" s="130"/>
      <c r="E72" s="133" t="s">
        <v>233</v>
      </c>
      <c r="F72" s="437" t="s">
        <v>244</v>
      </c>
      <c r="G72" s="438"/>
      <c r="H72" s="438"/>
      <c r="I72" s="438"/>
      <c r="J72" s="438"/>
      <c r="K72" s="438" t="s">
        <v>250</v>
      </c>
      <c r="L72" s="438"/>
      <c r="M72" s="51" t="s">
        <v>247</v>
      </c>
      <c r="N72" s="439" t="s">
        <v>248</v>
      </c>
      <c r="O72" s="439"/>
      <c r="P72" s="440">
        <v>50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231</v>
      </c>
      <c r="D73" s="130"/>
      <c r="E73" s="133" t="s">
        <v>254</v>
      </c>
      <c r="F73" s="437" t="s">
        <v>245</v>
      </c>
      <c r="G73" s="438"/>
      <c r="H73" s="438"/>
      <c r="I73" s="438"/>
      <c r="J73" s="438"/>
      <c r="K73" s="438" t="s">
        <v>251</v>
      </c>
      <c r="L73" s="438"/>
      <c r="M73" s="51" t="s">
        <v>252</v>
      </c>
      <c r="N73" s="439" t="s">
        <v>253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/>
      <c r="D74" s="130"/>
      <c r="E74" s="133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130"/>
      <c r="E75" s="133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130"/>
      <c r="E76" s="133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130"/>
      <c r="E77" s="133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130"/>
      <c r="E78" s="133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130"/>
      <c r="E79" s="133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130"/>
      <c r="E80" s="133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255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132" t="s">
        <v>2</v>
      </c>
      <c r="D82" s="132" t="s">
        <v>37</v>
      </c>
      <c r="E82" s="132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131"/>
      <c r="D83" s="131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130"/>
      <c r="D84" s="130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20">A84+1</f>
        <v>3</v>
      </c>
      <c r="B85" s="455"/>
      <c r="C85" s="130"/>
      <c r="D85" s="130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0"/>
        <v>4</v>
      </c>
      <c r="B86" s="455"/>
      <c r="C86" s="130"/>
      <c r="D86" s="130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5</v>
      </c>
      <c r="B87" s="455"/>
      <c r="C87" s="130"/>
      <c r="D87" s="130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6</v>
      </c>
      <c r="B88" s="455"/>
      <c r="C88" s="130"/>
      <c r="D88" s="130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7</v>
      </c>
      <c r="B89" s="455"/>
      <c r="C89" s="130"/>
      <c r="D89" s="130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256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D274-EA54-4927-A0F4-A0FB7DF8DF82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257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55" t="s">
        <v>17</v>
      </c>
      <c r="L5" s="155" t="s">
        <v>18</v>
      </c>
      <c r="M5" s="155" t="s">
        <v>19</v>
      </c>
      <c r="N5" s="1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173</v>
      </c>
      <c r="D6" s="52" t="s">
        <v>146</v>
      </c>
      <c r="E6" s="53" t="s">
        <v>258</v>
      </c>
      <c r="F6" s="30" t="s">
        <v>145</v>
      </c>
      <c r="G6" s="12">
        <v>1</v>
      </c>
      <c r="H6" s="13">
        <v>24</v>
      </c>
      <c r="I6" s="31">
        <v>1000</v>
      </c>
      <c r="J6" s="14">
        <v>1300</v>
      </c>
      <c r="K6" s="15">
        <f>L6</f>
        <v>1300</v>
      </c>
      <c r="L6" s="15">
        <v>1300</v>
      </c>
      <c r="M6" s="15">
        <f t="shared" ref="M6:M27" si="0">L6-N6</f>
        <v>1300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7</v>
      </c>
      <c r="Q6" s="40">
        <f t="shared" ref="Q6:Q27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0.29166666666666669</v>
      </c>
      <c r="AD6" s="10">
        <f t="shared" ref="AD6:AD27" si="6">AC6*AB6*(1-O6)</f>
        <v>0.29166666666666669</v>
      </c>
      <c r="AE6" s="36">
        <f t="shared" ref="AE6:AE27" si="7">$AD$28</f>
        <v>0.26325757575757575</v>
      </c>
      <c r="AF6" s="81">
        <f t="shared" ref="AF6:AF27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2</v>
      </c>
      <c r="H7" s="13">
        <v>24</v>
      </c>
      <c r="I7" s="31">
        <v>29000</v>
      </c>
      <c r="J7" s="14">
        <v>11828</v>
      </c>
      <c r="K7" s="15">
        <f>L7+6066+11086+11600</f>
        <v>40580</v>
      </c>
      <c r="L7" s="15">
        <f>2954*2+2960*2</f>
        <v>11828</v>
      </c>
      <c r="M7" s="15">
        <f t="shared" si="0"/>
        <v>11828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0.26325757575757575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129</v>
      </c>
      <c r="D8" s="52" t="s">
        <v>115</v>
      </c>
      <c r="E8" s="53" t="s">
        <v>217</v>
      </c>
      <c r="F8" s="30" t="s">
        <v>144</v>
      </c>
      <c r="G8" s="12">
        <v>1</v>
      </c>
      <c r="H8" s="13">
        <v>24</v>
      </c>
      <c r="I8" s="7">
        <v>1000</v>
      </c>
      <c r="J8" s="14">
        <v>1400</v>
      </c>
      <c r="K8" s="15">
        <f>L8+1400</f>
        <v>1400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0.26325757575757575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673</v>
      </c>
      <c r="K9" s="15">
        <f>L9</f>
        <v>673</v>
      </c>
      <c r="L9" s="15">
        <f>673</f>
        <v>673</v>
      </c>
      <c r="M9" s="15">
        <f t="shared" si="0"/>
        <v>673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6">
        <f t="shared" si="7"/>
        <v>0.26325757575757575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147</v>
      </c>
      <c r="E10" s="53" t="s">
        <v>190</v>
      </c>
      <c r="F10" s="30" t="s">
        <v>130</v>
      </c>
      <c r="G10" s="33">
        <v>2</v>
      </c>
      <c r="H10" s="35">
        <v>24</v>
      </c>
      <c r="I10" s="7">
        <v>2000</v>
      </c>
      <c r="J10" s="14">
        <v>2358</v>
      </c>
      <c r="K10" s="15">
        <f>L10+2358</f>
        <v>2358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0.26325757575757575</v>
      </c>
      <c r="AF10" s="81">
        <f t="shared" si="8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170</v>
      </c>
      <c r="E11" s="53" t="s">
        <v>191</v>
      </c>
      <c r="F11" s="30" t="s">
        <v>141</v>
      </c>
      <c r="G11" s="33">
        <v>1</v>
      </c>
      <c r="H11" s="35">
        <v>24</v>
      </c>
      <c r="I11" s="7">
        <v>2000</v>
      </c>
      <c r="J11" s="14">
        <v>2532</v>
      </c>
      <c r="K11" s="15">
        <f>L11+2532</f>
        <v>2532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0.26325757575757575</v>
      </c>
      <c r="AF11" s="81">
        <f t="shared" si="8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v>70000</v>
      </c>
      <c r="J12" s="5">
        <v>5338</v>
      </c>
      <c r="K12" s="15">
        <f>L12+5056+5299+5142+4725+5285+5308+3502+5153+5075+5268</f>
        <v>55151</v>
      </c>
      <c r="L12" s="15">
        <f>2678+2660</f>
        <v>5338</v>
      </c>
      <c r="M12" s="15">
        <f t="shared" si="0"/>
        <v>5338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0.26325757575757575</v>
      </c>
      <c r="AF12" s="81">
        <f t="shared" si="8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100000</v>
      </c>
      <c r="J13" s="14">
        <v>27532</v>
      </c>
      <c r="K13" s="15">
        <f>L13+15812</f>
        <v>43344</v>
      </c>
      <c r="L13" s="15">
        <f>3452*4+3431*4</f>
        <v>27532</v>
      </c>
      <c r="M13" s="15">
        <f t="shared" si="0"/>
        <v>27532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0.26325757575757575</v>
      </c>
      <c r="AF13" s="81">
        <f t="shared" si="8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167</v>
      </c>
      <c r="F14" s="30" t="s">
        <v>165</v>
      </c>
      <c r="G14" s="33">
        <v>1</v>
      </c>
      <c r="H14" s="35">
        <v>30</v>
      </c>
      <c r="I14" s="7">
        <v>3500</v>
      </c>
      <c r="J14" s="5">
        <v>1166</v>
      </c>
      <c r="K14" s="15">
        <f>L14+1335+1471+1250+714+1144+1166</f>
        <v>7080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0.26325757575757575</v>
      </c>
      <c r="AF14" s="81">
        <f t="shared" si="8"/>
        <v>9</v>
      </c>
    </row>
    <row r="15" spans="1:32" ht="27" customHeight="1">
      <c r="A15" s="92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0.26325757575757575</v>
      </c>
      <c r="AF15" s="81">
        <f t="shared" si="8"/>
        <v>10</v>
      </c>
    </row>
    <row r="16" spans="1:32" ht="27" customHeight="1">
      <c r="A16" s="107">
        <v>11</v>
      </c>
      <c r="B16" s="11" t="s">
        <v>57</v>
      </c>
      <c r="C16" s="34" t="s">
        <v>112</v>
      </c>
      <c r="D16" s="52" t="s">
        <v>121</v>
      </c>
      <c r="E16" s="53" t="s">
        <v>259</v>
      </c>
      <c r="F16" s="30" t="s">
        <v>130</v>
      </c>
      <c r="G16" s="12">
        <v>2</v>
      </c>
      <c r="H16" s="13">
        <v>24</v>
      </c>
      <c r="I16" s="7">
        <v>14000</v>
      </c>
      <c r="J16" s="14">
        <v>9666</v>
      </c>
      <c r="K16" s="15">
        <f>L16</f>
        <v>9666</v>
      </c>
      <c r="L16" s="15">
        <f>1683*2+3150*2</f>
        <v>9666</v>
      </c>
      <c r="M16" s="15">
        <f t="shared" si="0"/>
        <v>9666</v>
      </c>
      <c r="N16" s="15">
        <v>0</v>
      </c>
      <c r="O16" s="58">
        <f t="shared" si="1"/>
        <v>0</v>
      </c>
      <c r="P16" s="39">
        <f t="shared" si="2"/>
        <v>20</v>
      </c>
      <c r="Q16" s="40">
        <f t="shared" si="3"/>
        <v>4</v>
      </c>
      <c r="R16" s="7"/>
      <c r="S16" s="6"/>
      <c r="T16" s="16">
        <v>4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0.83333333333333337</v>
      </c>
      <c r="AD16" s="10">
        <f t="shared" si="6"/>
        <v>0.83333333333333337</v>
      </c>
      <c r="AE16" s="36">
        <f t="shared" si="7"/>
        <v>0.26325757575757575</v>
      </c>
      <c r="AF16" s="81">
        <f t="shared" si="8"/>
        <v>11</v>
      </c>
    </row>
    <row r="17" spans="1:32" ht="27" customHeight="1">
      <c r="A17" s="92">
        <v>12</v>
      </c>
      <c r="B17" s="11" t="s">
        <v>57</v>
      </c>
      <c r="C17" s="34" t="s">
        <v>129</v>
      </c>
      <c r="D17" s="52" t="s">
        <v>162</v>
      </c>
      <c r="E17" s="53" t="s">
        <v>163</v>
      </c>
      <c r="F17" s="30" t="s">
        <v>148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0.26325757575757575</v>
      </c>
      <c r="AF17" s="81">
        <f t="shared" si="8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171</v>
      </c>
      <c r="F18" s="30" t="s">
        <v>144</v>
      </c>
      <c r="G18" s="12">
        <v>2</v>
      </c>
      <c r="H18" s="13">
        <v>22</v>
      </c>
      <c r="I18" s="31">
        <v>30000</v>
      </c>
      <c r="J18" s="5">
        <v>11326</v>
      </c>
      <c r="K18" s="15">
        <f>L18+9826+11714+9940+10864+11326</f>
        <v>53670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0.26325757575757575</v>
      </c>
      <c r="AF18" s="81">
        <f t="shared" si="8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360000</v>
      </c>
      <c r="J19" s="14">
        <v>13908</v>
      </c>
      <c r="K19" s="15">
        <f>L19+16424+3460+8466+14048+14809+10420+6468+20028+25064+24256+18744+23224+19112+21656+19860+24856+20332</f>
        <v>305135</v>
      </c>
      <c r="L19" s="15">
        <f>3477*4</f>
        <v>13908</v>
      </c>
      <c r="M19" s="15">
        <f t="shared" si="0"/>
        <v>13908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0.26325757575757575</v>
      </c>
      <c r="AF19" s="81">
        <f t="shared" si="8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0.26325757575757575</v>
      </c>
      <c r="AF20" s="81">
        <f t="shared" si="8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159</v>
      </c>
      <c r="F21" s="12" t="s">
        <v>114</v>
      </c>
      <c r="G21" s="12">
        <v>3</v>
      </c>
      <c r="H21" s="35">
        <v>20</v>
      </c>
      <c r="I21" s="7">
        <v>300000</v>
      </c>
      <c r="J21" s="14">
        <v>45027</v>
      </c>
      <c r="K21" s="15">
        <f>L21+30164+39608+36320+8901</f>
        <v>160020</v>
      </c>
      <c r="L21" s="15">
        <f>6933*3+8076*3</f>
        <v>45027</v>
      </c>
      <c r="M21" s="15">
        <f t="shared" si="0"/>
        <v>45027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/>
      <c r="T21" s="16"/>
      <c r="U21" s="16"/>
      <c r="V21" s="17">
        <v>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0.26325757575757575</v>
      </c>
      <c r="AF21" s="81">
        <f t="shared" si="8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0.26325757575757575</v>
      </c>
      <c r="AF22" s="81">
        <f t="shared" si="8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0.26325757575757575</v>
      </c>
      <c r="AF23" s="81">
        <f t="shared" si="8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0.26325757575757575</v>
      </c>
      <c r="AF24" s="81">
        <f t="shared" si="8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0.26325757575757575</v>
      </c>
      <c r="AF25" s="81">
        <f t="shared" si="8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0.26325757575757575</v>
      </c>
      <c r="AF26" s="81">
        <f t="shared" si="8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0.26325757575757575</v>
      </c>
      <c r="AF27" s="81">
        <f t="shared" si="8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1572500</v>
      </c>
      <c r="J28" s="19">
        <f t="shared" si="10"/>
        <v>266701</v>
      </c>
      <c r="K28" s="20">
        <f t="shared" si="10"/>
        <v>1343347</v>
      </c>
      <c r="L28" s="21">
        <f t="shared" si="10"/>
        <v>115272</v>
      </c>
      <c r="M28" s="20">
        <f t="shared" si="10"/>
        <v>115272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139</v>
      </c>
      <c r="Q28" s="43">
        <f t="shared" si="11"/>
        <v>389</v>
      </c>
      <c r="R28" s="23">
        <f t="shared" si="11"/>
        <v>0</v>
      </c>
      <c r="S28" s="24">
        <f t="shared" si="11"/>
        <v>30</v>
      </c>
      <c r="T28" s="24">
        <f t="shared" si="11"/>
        <v>4</v>
      </c>
      <c r="U28" s="24">
        <f t="shared" si="11"/>
        <v>0</v>
      </c>
      <c r="V28" s="25">
        <f t="shared" si="11"/>
        <v>26</v>
      </c>
      <c r="W28" s="26">
        <f t="shared" si="11"/>
        <v>329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0.4</v>
      </c>
      <c r="AC28" s="4">
        <f>AVERAGE(AC6:AC27)</f>
        <v>0.26325757575757575</v>
      </c>
      <c r="AD28" s="4">
        <f>AVERAGE(AD6:AD27)</f>
        <v>0.26325757575757575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260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267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154" t="s">
        <v>46</v>
      </c>
      <c r="D57" s="154" t="s">
        <v>47</v>
      </c>
      <c r="E57" s="154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154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173</v>
      </c>
      <c r="B58" s="411"/>
      <c r="C58" s="150" t="s">
        <v>152</v>
      </c>
      <c r="D58" s="150" t="s">
        <v>146</v>
      </c>
      <c r="E58" s="150" t="s">
        <v>258</v>
      </c>
      <c r="F58" s="412" t="s">
        <v>261</v>
      </c>
      <c r="G58" s="413"/>
      <c r="H58" s="413"/>
      <c r="I58" s="413"/>
      <c r="J58" s="413"/>
      <c r="K58" s="413"/>
      <c r="L58" s="413"/>
      <c r="M58" s="414"/>
      <c r="N58" s="153" t="s">
        <v>173</v>
      </c>
      <c r="O58" s="147" t="s">
        <v>152</v>
      </c>
      <c r="P58" s="415" t="s">
        <v>146</v>
      </c>
      <c r="Q58" s="416"/>
      <c r="R58" s="415" t="s">
        <v>228</v>
      </c>
      <c r="S58" s="417"/>
      <c r="T58" s="417"/>
      <c r="U58" s="416"/>
      <c r="V58" s="412" t="s">
        <v>122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112</v>
      </c>
      <c r="B59" s="411"/>
      <c r="C59" s="159" t="s">
        <v>262</v>
      </c>
      <c r="D59" s="159" t="s">
        <v>128</v>
      </c>
      <c r="E59" s="159" t="s">
        <v>158</v>
      </c>
      <c r="F59" s="412" t="s">
        <v>220</v>
      </c>
      <c r="G59" s="413"/>
      <c r="H59" s="413"/>
      <c r="I59" s="413"/>
      <c r="J59" s="413"/>
      <c r="K59" s="413"/>
      <c r="L59" s="413"/>
      <c r="M59" s="414"/>
      <c r="N59" s="153" t="s">
        <v>116</v>
      </c>
      <c r="O59" s="147" t="s">
        <v>230</v>
      </c>
      <c r="P59" s="415" t="s">
        <v>131</v>
      </c>
      <c r="Q59" s="416"/>
      <c r="R59" s="415" t="s">
        <v>229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150" t="s">
        <v>263</v>
      </c>
      <c r="D60" s="150" t="s">
        <v>264</v>
      </c>
      <c r="E60" s="150" t="s">
        <v>265</v>
      </c>
      <c r="F60" s="412" t="s">
        <v>122</v>
      </c>
      <c r="G60" s="413"/>
      <c r="H60" s="413"/>
      <c r="I60" s="413"/>
      <c r="J60" s="413"/>
      <c r="K60" s="413"/>
      <c r="L60" s="413"/>
      <c r="M60" s="414"/>
      <c r="N60" s="153" t="s">
        <v>116</v>
      </c>
      <c r="O60" s="147" t="s">
        <v>272</v>
      </c>
      <c r="P60" s="415" t="s">
        <v>273</v>
      </c>
      <c r="Q60" s="416"/>
      <c r="R60" s="415" t="s">
        <v>271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116</v>
      </c>
      <c r="B61" s="411"/>
      <c r="C61" s="159" t="s">
        <v>230</v>
      </c>
      <c r="D61" s="159" t="s">
        <v>131</v>
      </c>
      <c r="E61" s="159" t="s">
        <v>229</v>
      </c>
      <c r="F61" s="412" t="s">
        <v>266</v>
      </c>
      <c r="G61" s="413"/>
      <c r="H61" s="413"/>
      <c r="I61" s="413"/>
      <c r="J61" s="413"/>
      <c r="K61" s="413"/>
      <c r="L61" s="413"/>
      <c r="M61" s="414"/>
      <c r="N61" s="153"/>
      <c r="O61" s="147"/>
      <c r="P61" s="415"/>
      <c r="Q61" s="416"/>
      <c r="R61" s="415"/>
      <c r="S61" s="417"/>
      <c r="T61" s="417"/>
      <c r="U61" s="416"/>
      <c r="V61" s="412"/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268</v>
      </c>
      <c r="B62" s="411"/>
      <c r="C62" s="150" t="s">
        <v>269</v>
      </c>
      <c r="D62" s="150"/>
      <c r="E62" s="150" t="s">
        <v>270</v>
      </c>
      <c r="F62" s="412" t="s">
        <v>122</v>
      </c>
      <c r="G62" s="413"/>
      <c r="H62" s="413"/>
      <c r="I62" s="413"/>
      <c r="J62" s="413"/>
      <c r="K62" s="413"/>
      <c r="L62" s="413"/>
      <c r="M62" s="414"/>
      <c r="N62" s="153"/>
      <c r="O62" s="147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/>
      <c r="B63" s="411"/>
      <c r="C63" s="150"/>
      <c r="D63" s="150"/>
      <c r="E63" s="150"/>
      <c r="F63" s="412"/>
      <c r="G63" s="413"/>
      <c r="H63" s="413"/>
      <c r="I63" s="413"/>
      <c r="J63" s="413"/>
      <c r="K63" s="413"/>
      <c r="L63" s="413"/>
      <c r="M63" s="414"/>
      <c r="N63" s="153"/>
      <c r="O63" s="147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150"/>
      <c r="D64" s="150"/>
      <c r="E64" s="150"/>
      <c r="F64" s="412"/>
      <c r="G64" s="413"/>
      <c r="H64" s="413"/>
      <c r="I64" s="413"/>
      <c r="J64" s="413"/>
      <c r="K64" s="413"/>
      <c r="L64" s="413"/>
      <c r="M64" s="414"/>
      <c r="N64" s="153"/>
      <c r="O64" s="147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149"/>
      <c r="D65" s="149"/>
      <c r="E65" s="150"/>
      <c r="F65" s="412"/>
      <c r="G65" s="413"/>
      <c r="H65" s="413"/>
      <c r="I65" s="413"/>
      <c r="J65" s="413"/>
      <c r="K65" s="413"/>
      <c r="L65" s="413"/>
      <c r="M65" s="414"/>
      <c r="N65" s="153"/>
      <c r="O65" s="147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49"/>
      <c r="D66" s="149"/>
      <c r="E66" s="150"/>
      <c r="F66" s="412"/>
      <c r="G66" s="413"/>
      <c r="H66" s="413"/>
      <c r="I66" s="413"/>
      <c r="J66" s="413"/>
      <c r="K66" s="413"/>
      <c r="L66" s="413"/>
      <c r="M66" s="414"/>
      <c r="N66" s="153"/>
      <c r="O66" s="147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151"/>
      <c r="D67" s="152"/>
      <c r="E67" s="151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274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148" t="s">
        <v>2</v>
      </c>
      <c r="D69" s="148" t="s">
        <v>37</v>
      </c>
      <c r="E69" s="148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148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276</v>
      </c>
      <c r="D70" s="143"/>
      <c r="E70" s="146" t="s">
        <v>277</v>
      </c>
      <c r="F70" s="437" t="s">
        <v>275</v>
      </c>
      <c r="G70" s="438"/>
      <c r="H70" s="438"/>
      <c r="I70" s="438"/>
      <c r="J70" s="438"/>
      <c r="K70" s="438" t="s">
        <v>278</v>
      </c>
      <c r="L70" s="438"/>
      <c r="M70" s="51" t="s">
        <v>279</v>
      </c>
      <c r="N70" s="439" t="s">
        <v>280</v>
      </c>
      <c r="O70" s="439"/>
      <c r="P70" s="440">
        <v>100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276</v>
      </c>
      <c r="D71" s="143"/>
      <c r="E71" s="146" t="s">
        <v>273</v>
      </c>
      <c r="F71" s="437" t="s">
        <v>281</v>
      </c>
      <c r="G71" s="438"/>
      <c r="H71" s="438"/>
      <c r="I71" s="438"/>
      <c r="J71" s="438"/>
      <c r="K71" s="438" t="s">
        <v>282</v>
      </c>
      <c r="L71" s="438"/>
      <c r="M71" s="51" t="s">
        <v>279</v>
      </c>
      <c r="N71" s="439" t="s">
        <v>272</v>
      </c>
      <c r="O71" s="439"/>
      <c r="P71" s="440">
        <v>100</v>
      </c>
      <c r="Q71" s="440"/>
      <c r="R71" s="441" t="s">
        <v>283</v>
      </c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276</v>
      </c>
      <c r="D72" s="143"/>
      <c r="E72" s="146" t="s">
        <v>284</v>
      </c>
      <c r="F72" s="437" t="s">
        <v>285</v>
      </c>
      <c r="G72" s="438"/>
      <c r="H72" s="438"/>
      <c r="I72" s="438"/>
      <c r="J72" s="438"/>
      <c r="K72" s="438" t="s">
        <v>282</v>
      </c>
      <c r="L72" s="438"/>
      <c r="M72" s="51" t="s">
        <v>279</v>
      </c>
      <c r="N72" s="439" t="s">
        <v>272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 t="s">
        <v>276</v>
      </c>
      <c r="D73" s="143"/>
      <c r="E73" s="146" t="s">
        <v>284</v>
      </c>
      <c r="F73" s="443" t="s">
        <v>286</v>
      </c>
      <c r="G73" s="444"/>
      <c r="H73" s="444"/>
      <c r="I73" s="444"/>
      <c r="J73" s="445"/>
      <c r="K73" s="438">
        <v>7301</v>
      </c>
      <c r="L73" s="438"/>
      <c r="M73" s="51" t="s">
        <v>287</v>
      </c>
      <c r="N73" s="439" t="s">
        <v>288</v>
      </c>
      <c r="O73" s="439"/>
      <c r="P73" s="440">
        <v>200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 t="s">
        <v>290</v>
      </c>
      <c r="D74" s="143"/>
      <c r="E74" s="146" t="s">
        <v>273</v>
      </c>
      <c r="F74" s="443" t="s">
        <v>289</v>
      </c>
      <c r="G74" s="444"/>
      <c r="H74" s="444"/>
      <c r="I74" s="444"/>
      <c r="J74" s="445"/>
      <c r="K74" s="438" t="s">
        <v>291</v>
      </c>
      <c r="L74" s="438"/>
      <c r="M74" s="51" t="s">
        <v>287</v>
      </c>
      <c r="N74" s="439" t="s">
        <v>288</v>
      </c>
      <c r="O74" s="439"/>
      <c r="P74" s="440">
        <v>100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 t="s">
        <v>290</v>
      </c>
      <c r="D75" s="167"/>
      <c r="E75" s="164" t="s">
        <v>273</v>
      </c>
      <c r="F75" s="443" t="s">
        <v>292</v>
      </c>
      <c r="G75" s="444"/>
      <c r="H75" s="444"/>
      <c r="I75" s="444"/>
      <c r="J75" s="445"/>
      <c r="K75" s="438" t="s">
        <v>291</v>
      </c>
      <c r="L75" s="438"/>
      <c r="M75" s="51" t="s">
        <v>287</v>
      </c>
      <c r="N75" s="439" t="s">
        <v>288</v>
      </c>
      <c r="O75" s="439"/>
      <c r="P75" s="440">
        <v>50</v>
      </c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 t="s">
        <v>294</v>
      </c>
      <c r="D76" s="143"/>
      <c r="E76" s="146" t="s">
        <v>295</v>
      </c>
      <c r="F76" s="443" t="s">
        <v>293</v>
      </c>
      <c r="G76" s="444"/>
      <c r="H76" s="444"/>
      <c r="I76" s="444"/>
      <c r="J76" s="445"/>
      <c r="K76" s="438" t="s">
        <v>278</v>
      </c>
      <c r="L76" s="438"/>
      <c r="M76" s="51" t="s">
        <v>287</v>
      </c>
      <c r="N76" s="439" t="s">
        <v>296</v>
      </c>
      <c r="O76" s="439"/>
      <c r="P76" s="440">
        <v>50</v>
      </c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143"/>
      <c r="E77" s="146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143"/>
      <c r="E78" s="146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143"/>
      <c r="E79" s="146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297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145" t="s">
        <v>2</v>
      </c>
      <c r="D81" s="145" t="s">
        <v>37</v>
      </c>
      <c r="E81" s="145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144"/>
      <c r="D82" s="144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143"/>
      <c r="D83" s="143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143"/>
      <c r="D84" s="143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143"/>
      <c r="D85" s="143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143"/>
      <c r="D86" s="143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143"/>
      <c r="D87" s="143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143"/>
      <c r="D88" s="143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298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A17B-AAE6-4936-B41B-A39DCC64E5A7}">
  <sheetPr>
    <pageSetUpPr fitToPage="1"/>
  </sheetPr>
  <dimension ref="A1:AF94"/>
  <sheetViews>
    <sheetView view="pageBreakPreview" topLeftCell="A34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299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56" t="s">
        <v>17</v>
      </c>
      <c r="L5" s="156" t="s">
        <v>18</v>
      </c>
      <c r="M5" s="156" t="s">
        <v>19</v>
      </c>
      <c r="N5" s="1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173</v>
      </c>
      <c r="D6" s="52" t="s">
        <v>146</v>
      </c>
      <c r="E6" s="53" t="s">
        <v>258</v>
      </c>
      <c r="F6" s="30" t="s">
        <v>145</v>
      </c>
      <c r="G6" s="12">
        <v>1</v>
      </c>
      <c r="H6" s="13">
        <v>24</v>
      </c>
      <c r="I6" s="31">
        <v>1000</v>
      </c>
      <c r="J6" s="14">
        <v>1250</v>
      </c>
      <c r="K6" s="15">
        <f>L6+1300</f>
        <v>2550</v>
      </c>
      <c r="L6" s="15">
        <v>1250</v>
      </c>
      <c r="M6" s="15">
        <f t="shared" ref="M6:M28" si="0">L6-N6</f>
        <v>1250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7</v>
      </c>
      <c r="Q6" s="40">
        <f t="shared" ref="Q6:Q28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0.29166666666666669</v>
      </c>
      <c r="AD6" s="10">
        <f t="shared" ref="AD6:AD28" si="6">AC6*AB6*(1-O6)</f>
        <v>0.29166666666666669</v>
      </c>
      <c r="AE6" s="36">
        <f t="shared" ref="AE6:AE28" si="7">$AD$29</f>
        <v>0.2705302764508497</v>
      </c>
      <c r="AF6" s="81">
        <f t="shared" ref="AF6:AF28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2</v>
      </c>
      <c r="H7" s="13">
        <v>24</v>
      </c>
      <c r="I7" s="31">
        <v>29000</v>
      </c>
      <c r="J7" s="14">
        <v>11828</v>
      </c>
      <c r="K7" s="15">
        <f>L7+6066+11086+11600+11828</f>
        <v>40580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0.2705302764508497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116</v>
      </c>
      <c r="D8" s="52" t="s">
        <v>115</v>
      </c>
      <c r="E8" s="53" t="s">
        <v>271</v>
      </c>
      <c r="F8" s="30" t="s">
        <v>144</v>
      </c>
      <c r="G8" s="12">
        <v>1</v>
      </c>
      <c r="H8" s="13">
        <v>24</v>
      </c>
      <c r="I8" s="7">
        <v>7000</v>
      </c>
      <c r="J8" s="14">
        <v>5046</v>
      </c>
      <c r="K8" s="15">
        <f>L8</f>
        <v>5046</v>
      </c>
      <c r="L8" s="15">
        <f>2683+2363</f>
        <v>5046</v>
      </c>
      <c r="M8" s="15">
        <f t="shared" si="0"/>
        <v>5046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0.2705302764508497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1147</v>
      </c>
      <c r="K9" s="15">
        <f>L9+673</f>
        <v>1820</v>
      </c>
      <c r="L9" s="15">
        <f>598+549</f>
        <v>1147</v>
      </c>
      <c r="M9" s="15">
        <f t="shared" si="0"/>
        <v>1147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6">
        <f t="shared" si="7"/>
        <v>0.2705302764508497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147</v>
      </c>
      <c r="E10" s="53" t="s">
        <v>190</v>
      </c>
      <c r="F10" s="30" t="s">
        <v>130</v>
      </c>
      <c r="G10" s="33">
        <v>2</v>
      </c>
      <c r="H10" s="35">
        <v>24</v>
      </c>
      <c r="I10" s="7">
        <v>2000</v>
      </c>
      <c r="J10" s="14">
        <v>2358</v>
      </c>
      <c r="K10" s="15">
        <f>L10+2358</f>
        <v>2358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0.2705302764508497</v>
      </c>
      <c r="AF10" s="81">
        <f t="shared" si="8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170</v>
      </c>
      <c r="E11" s="53" t="s">
        <v>191</v>
      </c>
      <c r="F11" s="30" t="s">
        <v>141</v>
      </c>
      <c r="G11" s="33">
        <v>1</v>
      </c>
      <c r="H11" s="35">
        <v>24</v>
      </c>
      <c r="I11" s="7">
        <v>2000</v>
      </c>
      <c r="J11" s="14">
        <v>2532</v>
      </c>
      <c r="K11" s="15">
        <f>L11+2532</f>
        <v>2532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0.2705302764508497</v>
      </c>
      <c r="AF11" s="81">
        <f t="shared" si="8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v>70000</v>
      </c>
      <c r="J12" s="5">
        <v>5267</v>
      </c>
      <c r="K12" s="15">
        <f>L12+5056+5299+5142+4725+5285+5308+3502+5153+5075+5268+5338</f>
        <v>60418</v>
      </c>
      <c r="L12" s="15">
        <f>2602+2665</f>
        <v>5267</v>
      </c>
      <c r="M12" s="15">
        <f t="shared" si="0"/>
        <v>5267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0.2705302764508497</v>
      </c>
      <c r="AF12" s="81">
        <f t="shared" si="8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100000</v>
      </c>
      <c r="J13" s="14">
        <v>25338</v>
      </c>
      <c r="K13" s="15">
        <f>L13+15812+27532</f>
        <v>68682</v>
      </c>
      <c r="L13" s="15">
        <f>2300*4+802*3+3433*4</f>
        <v>25338</v>
      </c>
      <c r="M13" s="15">
        <f t="shared" si="0"/>
        <v>25338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0.2705302764508497</v>
      </c>
      <c r="AF13" s="81">
        <f t="shared" si="8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167</v>
      </c>
      <c r="F14" s="30" t="s">
        <v>165</v>
      </c>
      <c r="G14" s="33">
        <v>1</v>
      </c>
      <c r="H14" s="35">
        <v>30</v>
      </c>
      <c r="I14" s="7">
        <v>3500</v>
      </c>
      <c r="J14" s="5">
        <v>1166</v>
      </c>
      <c r="K14" s="15">
        <f>L14+1335+1471+1250+714+1144+1166</f>
        <v>7080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0.2705302764508497</v>
      </c>
      <c r="AF14" s="81">
        <f t="shared" si="8"/>
        <v>9</v>
      </c>
    </row>
    <row r="15" spans="1:32" ht="27" customHeight="1">
      <c r="A15" s="92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0.2705302764508497</v>
      </c>
      <c r="AF15" s="81">
        <f t="shared" si="8"/>
        <v>10</v>
      </c>
    </row>
    <row r="16" spans="1:32" ht="27" customHeight="1">
      <c r="A16" s="107">
        <v>11</v>
      </c>
      <c r="B16" s="11" t="s">
        <v>57</v>
      </c>
      <c r="C16" s="34" t="s">
        <v>112</v>
      </c>
      <c r="D16" s="52" t="s">
        <v>121</v>
      </c>
      <c r="E16" s="53" t="s">
        <v>259</v>
      </c>
      <c r="F16" s="30" t="s">
        <v>130</v>
      </c>
      <c r="G16" s="12">
        <v>2</v>
      </c>
      <c r="H16" s="13">
        <v>24</v>
      </c>
      <c r="I16" s="7">
        <v>14000</v>
      </c>
      <c r="J16" s="14">
        <v>9666</v>
      </c>
      <c r="K16" s="15">
        <f>L16+9666</f>
        <v>14268</v>
      </c>
      <c r="L16" s="15">
        <f>2301*2</f>
        <v>4602</v>
      </c>
      <c r="M16" s="15">
        <f t="shared" si="0"/>
        <v>4602</v>
      </c>
      <c r="N16" s="15">
        <v>0</v>
      </c>
      <c r="O16" s="58">
        <f t="shared" si="1"/>
        <v>0</v>
      </c>
      <c r="P16" s="39">
        <f t="shared" si="2"/>
        <v>7</v>
      </c>
      <c r="Q16" s="40">
        <f t="shared" si="3"/>
        <v>17</v>
      </c>
      <c r="R16" s="7"/>
      <c r="S16" s="6"/>
      <c r="T16" s="16"/>
      <c r="U16" s="16"/>
      <c r="V16" s="17"/>
      <c r="W16" s="5">
        <v>17</v>
      </c>
      <c r="X16" s="16"/>
      <c r="Y16" s="16"/>
      <c r="Z16" s="16"/>
      <c r="AA16" s="18"/>
      <c r="AB16" s="8">
        <f t="shared" si="4"/>
        <v>0.47610180012414649</v>
      </c>
      <c r="AC16" s="9">
        <f t="shared" si="5"/>
        <v>0.29166666666666669</v>
      </c>
      <c r="AD16" s="10">
        <f t="shared" si="6"/>
        <v>0.1388630250362094</v>
      </c>
      <c r="AE16" s="36">
        <f t="shared" si="7"/>
        <v>0.2705302764508497</v>
      </c>
      <c r="AF16" s="81">
        <f t="shared" si="8"/>
        <v>11</v>
      </c>
    </row>
    <row r="17" spans="1:32" ht="27" customHeight="1">
      <c r="A17" s="107">
        <v>11</v>
      </c>
      <c r="B17" s="11" t="s">
        <v>57</v>
      </c>
      <c r="C17" s="34" t="s">
        <v>112</v>
      </c>
      <c r="D17" s="52" t="s">
        <v>121</v>
      </c>
      <c r="E17" s="53" t="s">
        <v>300</v>
      </c>
      <c r="F17" s="30" t="s">
        <v>130</v>
      </c>
      <c r="G17" s="12">
        <v>2</v>
      </c>
      <c r="H17" s="13">
        <v>24</v>
      </c>
      <c r="I17" s="7">
        <v>27000</v>
      </c>
      <c r="J17" s="14">
        <v>7530</v>
      </c>
      <c r="K17" s="15">
        <f>L17</f>
        <v>7530</v>
      </c>
      <c r="L17" s="15">
        <f>645*2+3120*2</f>
        <v>7530</v>
      </c>
      <c r="M17" s="15">
        <f t="shared" ref="M17" si="9">L17-N17</f>
        <v>7530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16</v>
      </c>
      <c r="Q17" s="40">
        <f t="shared" ref="Q17" si="12">SUM(R17:AA17)</f>
        <v>8</v>
      </c>
      <c r="R17" s="7"/>
      <c r="S17" s="6"/>
      <c r="T17" s="16">
        <v>8</v>
      </c>
      <c r="U17" s="16"/>
      <c r="V17" s="17"/>
      <c r="W17" s="5"/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0.66666666666666663</v>
      </c>
      <c r="AD17" s="10">
        <f t="shared" ref="AD17" si="15">AC17*AB17*(1-O17)</f>
        <v>0.66666666666666663</v>
      </c>
      <c r="AE17" s="36">
        <f t="shared" si="7"/>
        <v>0.2705302764508497</v>
      </c>
      <c r="AF17" s="81">
        <f t="shared" ref="AF17" si="16">A17</f>
        <v>11</v>
      </c>
    </row>
    <row r="18" spans="1:32" ht="27" customHeight="1">
      <c r="A18" s="92">
        <v>12</v>
      </c>
      <c r="B18" s="11" t="s">
        <v>57</v>
      </c>
      <c r="C18" s="34" t="s">
        <v>129</v>
      </c>
      <c r="D18" s="52" t="s">
        <v>162</v>
      </c>
      <c r="E18" s="53" t="s">
        <v>163</v>
      </c>
      <c r="F18" s="30" t="s">
        <v>148</v>
      </c>
      <c r="G18" s="12">
        <v>1</v>
      </c>
      <c r="H18" s="13">
        <v>24</v>
      </c>
      <c r="I18" s="7">
        <v>2000</v>
      </c>
      <c r="J18" s="14">
        <v>4211</v>
      </c>
      <c r="K18" s="15">
        <f>L18+4211</f>
        <v>4211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0.2705302764508497</v>
      </c>
      <c r="AF18" s="81">
        <f t="shared" si="8"/>
        <v>12</v>
      </c>
    </row>
    <row r="19" spans="1:32" ht="27" customHeight="1">
      <c r="A19" s="93">
        <v>13</v>
      </c>
      <c r="B19" s="11" t="s">
        <v>57</v>
      </c>
      <c r="C19" s="34" t="s">
        <v>112</v>
      </c>
      <c r="D19" s="52" t="s">
        <v>115</v>
      </c>
      <c r="E19" s="53" t="s">
        <v>171</v>
      </c>
      <c r="F19" s="30" t="s">
        <v>144</v>
      </c>
      <c r="G19" s="12">
        <v>2</v>
      </c>
      <c r="H19" s="13">
        <v>22</v>
      </c>
      <c r="I19" s="31">
        <v>30000</v>
      </c>
      <c r="J19" s="5">
        <v>11326</v>
      </c>
      <c r="K19" s="15">
        <f>L19+9826+11714+9940+10864+11326</f>
        <v>53670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0.2705302764508497</v>
      </c>
      <c r="AF19" s="81">
        <f t="shared" si="8"/>
        <v>13</v>
      </c>
    </row>
    <row r="20" spans="1:32" ht="27" customHeight="1">
      <c r="A20" s="93">
        <v>14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23312</v>
      </c>
      <c r="K20" s="15">
        <f>L20+16424+3460+8466+14048+14809+10420+6468+20028+25064+24256+18744+23224+19112+21656+19860+24856+20332+13908</f>
        <v>328447</v>
      </c>
      <c r="L20" s="15">
        <f>2854*4+2974*4</f>
        <v>23312</v>
      </c>
      <c r="M20" s="15">
        <f t="shared" si="0"/>
        <v>23312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0.2705302764508497</v>
      </c>
      <c r="AF20" s="81">
        <f t="shared" si="8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128</v>
      </c>
      <c r="E21" s="53" t="s">
        <v>158</v>
      </c>
      <c r="F21" s="30" t="s">
        <v>124</v>
      </c>
      <c r="G21" s="33">
        <v>4</v>
      </c>
      <c r="H21" s="35">
        <v>24</v>
      </c>
      <c r="I21" s="7">
        <v>360000</v>
      </c>
      <c r="J21" s="14">
        <v>20332</v>
      </c>
      <c r="K21" s="15">
        <f>L21+16424+3460+8466+14048+14809+10420+6468+20028+25064+24256+18744+23224+19112+21656+19860+24856+20332</f>
        <v>291227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0.2705302764508497</v>
      </c>
      <c r="AF21" s="81">
        <f t="shared" si="8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159</v>
      </c>
      <c r="F22" s="12" t="s">
        <v>114</v>
      </c>
      <c r="G22" s="12">
        <v>3</v>
      </c>
      <c r="H22" s="35">
        <v>20</v>
      </c>
      <c r="I22" s="7">
        <v>300000</v>
      </c>
      <c r="J22" s="14">
        <v>47694</v>
      </c>
      <c r="K22" s="15">
        <f>L22+30164+39608+36320+8901+45027</f>
        <v>207714</v>
      </c>
      <c r="L22" s="15">
        <f>7894*3+8004*3</f>
        <v>47694</v>
      </c>
      <c r="M22" s="15">
        <f t="shared" si="0"/>
        <v>47694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0.2705302764508497</v>
      </c>
      <c r="AF22" s="81">
        <f t="shared" si="8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0.2705302764508497</v>
      </c>
      <c r="AF23" s="81">
        <f t="shared" si="8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0.2705302764508497</v>
      </c>
      <c r="AF24" s="81">
        <f t="shared" si="8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0.2705302764508497</v>
      </c>
      <c r="AF25" s="81">
        <f t="shared" si="8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0.2705302764508497</v>
      </c>
      <c r="AF26" s="81">
        <f t="shared" si="8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0.2705302764508497</v>
      </c>
      <c r="AF27" s="81">
        <f t="shared" si="8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0.2705302764508497</v>
      </c>
      <c r="AF28" s="81">
        <f t="shared" si="8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8">SUM(I6:I28)</f>
        <v>1605500</v>
      </c>
      <c r="J29" s="19">
        <f t="shared" si="18"/>
        <v>288107</v>
      </c>
      <c r="K29" s="20">
        <f t="shared" si="18"/>
        <v>1463133</v>
      </c>
      <c r="L29" s="21">
        <f t="shared" si="18"/>
        <v>121186</v>
      </c>
      <c r="M29" s="20">
        <f t="shared" si="18"/>
        <v>121186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153</v>
      </c>
      <c r="Q29" s="43">
        <f t="shared" si="19"/>
        <v>399</v>
      </c>
      <c r="R29" s="23">
        <f t="shared" si="19"/>
        <v>0</v>
      </c>
      <c r="S29" s="24">
        <f t="shared" si="19"/>
        <v>21</v>
      </c>
      <c r="T29" s="24">
        <f t="shared" si="19"/>
        <v>8</v>
      </c>
      <c r="U29" s="24">
        <f t="shared" si="19"/>
        <v>0</v>
      </c>
      <c r="V29" s="25">
        <f t="shared" si="19"/>
        <v>24</v>
      </c>
      <c r="W29" s="26">
        <f t="shared" si="19"/>
        <v>346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0</v>
      </c>
      <c r="AB29" s="28">
        <f>AVERAGE(AB6:AB28)</f>
        <v>0.40362389524400699</v>
      </c>
      <c r="AC29" s="4">
        <f>AVERAGE(AC6:AC28)</f>
        <v>0.27717391304347827</v>
      </c>
      <c r="AD29" s="4">
        <f>AVERAGE(AD6:AD28)</f>
        <v>0.2705302764508497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301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308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157" t="s">
        <v>46</v>
      </c>
      <c r="D58" s="157" t="s">
        <v>47</v>
      </c>
      <c r="E58" s="157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157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173</v>
      </c>
      <c r="B59" s="411"/>
      <c r="C59" s="159" t="s">
        <v>152</v>
      </c>
      <c r="D59" s="159" t="s">
        <v>146</v>
      </c>
      <c r="E59" s="159" t="s">
        <v>258</v>
      </c>
      <c r="F59" s="412" t="s">
        <v>220</v>
      </c>
      <c r="G59" s="413"/>
      <c r="H59" s="413"/>
      <c r="I59" s="413"/>
      <c r="J59" s="413"/>
      <c r="K59" s="413"/>
      <c r="L59" s="413"/>
      <c r="M59" s="414"/>
      <c r="N59" s="158" t="s">
        <v>112</v>
      </c>
      <c r="O59" s="165" t="s">
        <v>311</v>
      </c>
      <c r="P59" s="415" t="s">
        <v>310</v>
      </c>
      <c r="Q59" s="416"/>
      <c r="R59" s="415" t="s">
        <v>309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116</v>
      </c>
      <c r="B60" s="411"/>
      <c r="C60" s="159" t="s">
        <v>151</v>
      </c>
      <c r="D60" s="159" t="s">
        <v>115</v>
      </c>
      <c r="E60" s="159" t="s">
        <v>271</v>
      </c>
      <c r="F60" s="412" t="s">
        <v>302</v>
      </c>
      <c r="G60" s="413"/>
      <c r="H60" s="413"/>
      <c r="I60" s="413"/>
      <c r="J60" s="413"/>
      <c r="K60" s="413"/>
      <c r="L60" s="413"/>
      <c r="M60" s="414"/>
      <c r="N60" s="158" t="s">
        <v>116</v>
      </c>
      <c r="O60" s="165" t="s">
        <v>230</v>
      </c>
      <c r="P60" s="415" t="s">
        <v>131</v>
      </c>
      <c r="Q60" s="416"/>
      <c r="R60" s="415" t="s">
        <v>229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303</v>
      </c>
      <c r="B61" s="411"/>
      <c r="C61" s="159" t="s">
        <v>304</v>
      </c>
      <c r="D61" s="159" t="s">
        <v>305</v>
      </c>
      <c r="E61" s="159" t="s">
        <v>306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158" t="s">
        <v>313</v>
      </c>
      <c r="O61" s="165" t="s">
        <v>314</v>
      </c>
      <c r="P61" s="415" t="s">
        <v>305</v>
      </c>
      <c r="Q61" s="416"/>
      <c r="R61" s="415" t="s">
        <v>312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116</v>
      </c>
      <c r="B62" s="411"/>
      <c r="C62" s="159" t="s">
        <v>230</v>
      </c>
      <c r="D62" s="159" t="s">
        <v>131</v>
      </c>
      <c r="E62" s="159" t="s">
        <v>229</v>
      </c>
      <c r="F62" s="412" t="s">
        <v>307</v>
      </c>
      <c r="G62" s="413"/>
      <c r="H62" s="413"/>
      <c r="I62" s="413"/>
      <c r="J62" s="413"/>
      <c r="K62" s="413"/>
      <c r="L62" s="413"/>
      <c r="M62" s="414"/>
      <c r="N62" s="158"/>
      <c r="O62" s="165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268</v>
      </c>
      <c r="B63" s="411"/>
      <c r="C63" s="159" t="s">
        <v>269</v>
      </c>
      <c r="D63" s="159"/>
      <c r="E63" s="159" t="s">
        <v>270</v>
      </c>
      <c r="F63" s="412" t="s">
        <v>122</v>
      </c>
      <c r="G63" s="413"/>
      <c r="H63" s="413"/>
      <c r="I63" s="413"/>
      <c r="J63" s="413"/>
      <c r="K63" s="413"/>
      <c r="L63" s="413"/>
      <c r="M63" s="414"/>
      <c r="N63" s="158"/>
      <c r="O63" s="165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159"/>
      <c r="D64" s="159"/>
      <c r="E64" s="159"/>
      <c r="F64" s="412"/>
      <c r="G64" s="413"/>
      <c r="H64" s="413"/>
      <c r="I64" s="413"/>
      <c r="J64" s="413"/>
      <c r="K64" s="413"/>
      <c r="L64" s="413"/>
      <c r="M64" s="414"/>
      <c r="N64" s="158"/>
      <c r="O64" s="165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/>
      <c r="B65" s="411"/>
      <c r="C65" s="159"/>
      <c r="D65" s="159"/>
      <c r="E65" s="159"/>
      <c r="F65" s="412"/>
      <c r="G65" s="413"/>
      <c r="H65" s="413"/>
      <c r="I65" s="413"/>
      <c r="J65" s="413"/>
      <c r="K65" s="413"/>
      <c r="L65" s="413"/>
      <c r="M65" s="414"/>
      <c r="N65" s="158"/>
      <c r="O65" s="165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62"/>
      <c r="D66" s="162"/>
      <c r="E66" s="159"/>
      <c r="F66" s="412"/>
      <c r="G66" s="413"/>
      <c r="H66" s="413"/>
      <c r="I66" s="413"/>
      <c r="J66" s="413"/>
      <c r="K66" s="413"/>
      <c r="L66" s="413"/>
      <c r="M66" s="414"/>
      <c r="N66" s="158"/>
      <c r="O66" s="165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162"/>
      <c r="D67" s="162"/>
      <c r="E67" s="159"/>
      <c r="F67" s="412"/>
      <c r="G67" s="413"/>
      <c r="H67" s="413"/>
      <c r="I67" s="413"/>
      <c r="J67" s="413"/>
      <c r="K67" s="413"/>
      <c r="L67" s="413"/>
      <c r="M67" s="414"/>
      <c r="N67" s="158"/>
      <c r="O67" s="165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160"/>
      <c r="D68" s="161"/>
      <c r="E68" s="160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315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163" t="s">
        <v>2</v>
      </c>
      <c r="D70" s="163" t="s">
        <v>37</v>
      </c>
      <c r="E70" s="163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163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316</v>
      </c>
      <c r="D71" s="167"/>
      <c r="E71" s="164" t="s">
        <v>146</v>
      </c>
      <c r="F71" s="437" t="s">
        <v>317</v>
      </c>
      <c r="G71" s="438"/>
      <c r="H71" s="438"/>
      <c r="I71" s="438"/>
      <c r="J71" s="438"/>
      <c r="K71" s="438" t="s">
        <v>318</v>
      </c>
      <c r="L71" s="438"/>
      <c r="M71" s="51" t="s">
        <v>319</v>
      </c>
      <c r="N71" s="439" t="s">
        <v>320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112</v>
      </c>
      <c r="D72" s="169"/>
      <c r="E72" s="172" t="s">
        <v>115</v>
      </c>
      <c r="F72" s="443" t="s">
        <v>289</v>
      </c>
      <c r="G72" s="444"/>
      <c r="H72" s="444"/>
      <c r="I72" s="444"/>
      <c r="J72" s="445"/>
      <c r="K72" s="438" t="s">
        <v>123</v>
      </c>
      <c r="L72" s="438"/>
      <c r="M72" s="51" t="s">
        <v>184</v>
      </c>
      <c r="N72" s="439" t="s">
        <v>185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112</v>
      </c>
      <c r="D73" s="167"/>
      <c r="E73" s="164" t="s">
        <v>115</v>
      </c>
      <c r="F73" s="437" t="s">
        <v>321</v>
      </c>
      <c r="G73" s="438"/>
      <c r="H73" s="438"/>
      <c r="I73" s="438"/>
      <c r="J73" s="438"/>
      <c r="K73" s="438" t="s">
        <v>322</v>
      </c>
      <c r="L73" s="438"/>
      <c r="M73" s="51" t="s">
        <v>323</v>
      </c>
      <c r="N73" s="439" t="s">
        <v>324</v>
      </c>
      <c r="O73" s="439"/>
      <c r="P73" s="440">
        <v>20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 t="s">
        <v>112</v>
      </c>
      <c r="D74" s="167"/>
      <c r="E74" s="164" t="s">
        <v>328</v>
      </c>
      <c r="F74" s="443" t="s">
        <v>325</v>
      </c>
      <c r="G74" s="444"/>
      <c r="H74" s="444"/>
      <c r="I74" s="444"/>
      <c r="J74" s="445"/>
      <c r="K74" s="438" t="s">
        <v>330</v>
      </c>
      <c r="L74" s="438"/>
      <c r="M74" s="51" t="s">
        <v>332</v>
      </c>
      <c r="N74" s="439" t="s">
        <v>333</v>
      </c>
      <c r="O74" s="439"/>
      <c r="P74" s="440">
        <v>50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 t="s">
        <v>303</v>
      </c>
      <c r="D75" s="167"/>
      <c r="E75" s="164" t="s">
        <v>115</v>
      </c>
      <c r="F75" s="443" t="s">
        <v>326</v>
      </c>
      <c r="G75" s="444"/>
      <c r="H75" s="444"/>
      <c r="I75" s="444"/>
      <c r="J75" s="445"/>
      <c r="K75" s="438" t="s">
        <v>331</v>
      </c>
      <c r="L75" s="438"/>
      <c r="M75" s="51" t="s">
        <v>332</v>
      </c>
      <c r="N75" s="439" t="s">
        <v>333</v>
      </c>
      <c r="O75" s="439"/>
      <c r="P75" s="440">
        <v>50</v>
      </c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 t="s">
        <v>303</v>
      </c>
      <c r="D76" s="167"/>
      <c r="E76" s="164" t="s">
        <v>329</v>
      </c>
      <c r="F76" s="443" t="s">
        <v>327</v>
      </c>
      <c r="G76" s="444"/>
      <c r="H76" s="444"/>
      <c r="I76" s="444"/>
      <c r="J76" s="445"/>
      <c r="K76" s="438">
        <v>7301</v>
      </c>
      <c r="L76" s="438"/>
      <c r="M76" s="51" t="s">
        <v>332</v>
      </c>
      <c r="N76" s="439" t="s">
        <v>333</v>
      </c>
      <c r="O76" s="439"/>
      <c r="P76" s="440">
        <v>50</v>
      </c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167"/>
      <c r="E77" s="164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167"/>
      <c r="E78" s="164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167"/>
      <c r="E79" s="164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167"/>
      <c r="E80" s="164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334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166" t="s">
        <v>2</v>
      </c>
      <c r="D82" s="166" t="s">
        <v>37</v>
      </c>
      <c r="E82" s="166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168"/>
      <c r="D83" s="168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167"/>
      <c r="D84" s="167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20">A84+1</f>
        <v>3</v>
      </c>
      <c r="B85" s="455"/>
      <c r="C85" s="167"/>
      <c r="D85" s="167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0"/>
        <v>4</v>
      </c>
      <c r="B86" s="455"/>
      <c r="C86" s="167"/>
      <c r="D86" s="167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5</v>
      </c>
      <c r="B87" s="455"/>
      <c r="C87" s="167"/>
      <c r="D87" s="167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6</v>
      </c>
      <c r="B88" s="455"/>
      <c r="C88" s="167"/>
      <c r="D88" s="167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7</v>
      </c>
      <c r="B89" s="455"/>
      <c r="C89" s="167"/>
      <c r="D89" s="167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335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E0A1-D337-47AF-9254-D6E82EECF786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336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81" t="s">
        <v>17</v>
      </c>
      <c r="L5" s="181" t="s">
        <v>18</v>
      </c>
      <c r="M5" s="181" t="s">
        <v>19</v>
      </c>
      <c r="N5" s="1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146</v>
      </c>
      <c r="E6" s="53" t="s">
        <v>293</v>
      </c>
      <c r="F6" s="30" t="s">
        <v>278</v>
      </c>
      <c r="G6" s="12">
        <v>1</v>
      </c>
      <c r="H6" s="13">
        <v>24</v>
      </c>
      <c r="I6" s="31">
        <v>2400</v>
      </c>
      <c r="J6" s="14">
        <v>2579</v>
      </c>
      <c r="K6" s="15">
        <f>L6</f>
        <v>2579</v>
      </c>
      <c r="L6" s="15">
        <f>2026+553</f>
        <v>2579</v>
      </c>
      <c r="M6" s="15">
        <f t="shared" ref="M6:M27" si="0">L6-N6</f>
        <v>2579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16</v>
      </c>
      <c r="Q6" s="40">
        <f t="shared" ref="Q6:Q27" si="3">SUM(R6:AA6)</f>
        <v>8</v>
      </c>
      <c r="R6" s="7"/>
      <c r="S6" s="6"/>
      <c r="T6" s="16"/>
      <c r="U6" s="16"/>
      <c r="V6" s="17"/>
      <c r="W6" s="5"/>
      <c r="X6" s="16"/>
      <c r="Y6" s="16"/>
      <c r="Z6" s="16"/>
      <c r="AA6" s="18">
        <v>8</v>
      </c>
      <c r="AB6" s="8">
        <f t="shared" ref="AB6:AB27" si="4">IF(J6=0,"0",(L6/J6))</f>
        <v>1</v>
      </c>
      <c r="AC6" s="9">
        <f t="shared" ref="AC6:AC27" si="5">IF(P6=0,"0",(P6/24))</f>
        <v>0.66666666666666663</v>
      </c>
      <c r="AD6" s="10">
        <f t="shared" ref="AD6:AD27" si="6">AC6*AB6*(1-O6)</f>
        <v>0.66666666666666663</v>
      </c>
      <c r="AE6" s="36">
        <f t="shared" ref="AE6:AE27" si="7">$AD$28</f>
        <v>0.42613636363636365</v>
      </c>
      <c r="AF6" s="81">
        <f t="shared" ref="AF6:AF27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310</v>
      </c>
      <c r="E7" s="53" t="s">
        <v>309</v>
      </c>
      <c r="F7" s="30" t="s">
        <v>337</v>
      </c>
      <c r="G7" s="12">
        <v>2</v>
      </c>
      <c r="H7" s="13">
        <v>24</v>
      </c>
      <c r="I7" s="31">
        <v>28000</v>
      </c>
      <c r="J7" s="14">
        <v>10610</v>
      </c>
      <c r="K7" s="15">
        <f>L7</f>
        <v>10610</v>
      </c>
      <c r="L7" s="15">
        <f>2768*2+2537*2</f>
        <v>10610</v>
      </c>
      <c r="M7" s="15">
        <f t="shared" si="0"/>
        <v>10610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0.42613636363636365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116</v>
      </c>
      <c r="D8" s="52" t="s">
        <v>115</v>
      </c>
      <c r="E8" s="53" t="s">
        <v>271</v>
      </c>
      <c r="F8" s="30" t="s">
        <v>144</v>
      </c>
      <c r="G8" s="12">
        <v>1</v>
      </c>
      <c r="H8" s="13">
        <v>24</v>
      </c>
      <c r="I8" s="7">
        <v>7000</v>
      </c>
      <c r="J8" s="14">
        <v>5664</v>
      </c>
      <c r="K8" s="15">
        <f>L8+5046</f>
        <v>10710</v>
      </c>
      <c r="L8" s="15">
        <f>2984+2680</f>
        <v>5664</v>
      </c>
      <c r="M8" s="15">
        <f t="shared" si="0"/>
        <v>5664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0.42613636363636365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3717</v>
      </c>
      <c r="K9" s="15">
        <f>L9+673+1147</f>
        <v>5537</v>
      </c>
      <c r="L9" s="15">
        <f>1706+2011</f>
        <v>3717</v>
      </c>
      <c r="M9" s="15">
        <f t="shared" si="0"/>
        <v>3717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0.42613636363636365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112</v>
      </c>
      <c r="D10" s="52" t="s">
        <v>121</v>
      </c>
      <c r="E10" s="53" t="s">
        <v>338</v>
      </c>
      <c r="F10" s="30" t="s">
        <v>130</v>
      </c>
      <c r="G10" s="33">
        <v>1</v>
      </c>
      <c r="H10" s="35">
        <v>24</v>
      </c>
      <c r="I10" s="7">
        <v>1000</v>
      </c>
      <c r="J10" s="14">
        <v>1911</v>
      </c>
      <c r="K10" s="15">
        <f>L10</f>
        <v>1911</v>
      </c>
      <c r="L10" s="15">
        <v>1911</v>
      </c>
      <c r="M10" s="15">
        <f t="shared" si="0"/>
        <v>1911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>
        <v>4</v>
      </c>
      <c r="T10" s="16">
        <v>10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0.42613636363636365</v>
      </c>
      <c r="AF10" s="81">
        <f t="shared" si="8"/>
        <v>5</v>
      </c>
    </row>
    <row r="11" spans="1:32" ht="27" customHeight="1">
      <c r="A11" s="93">
        <v>6</v>
      </c>
      <c r="B11" s="11" t="s">
        <v>57</v>
      </c>
      <c r="C11" s="11" t="s">
        <v>112</v>
      </c>
      <c r="D11" s="52" t="s">
        <v>170</v>
      </c>
      <c r="E11" s="53" t="s">
        <v>339</v>
      </c>
      <c r="F11" s="30" t="s">
        <v>123</v>
      </c>
      <c r="G11" s="33">
        <v>1</v>
      </c>
      <c r="H11" s="35">
        <v>24</v>
      </c>
      <c r="I11" s="7">
        <v>1000</v>
      </c>
      <c r="J11" s="14">
        <v>3322</v>
      </c>
      <c r="K11" s="15">
        <f>L11</f>
        <v>3322</v>
      </c>
      <c r="L11" s="15">
        <f>790+2532</f>
        <v>3322</v>
      </c>
      <c r="M11" s="15">
        <f t="shared" si="0"/>
        <v>3322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/>
      <c r="S11" s="6"/>
      <c r="T11" s="16">
        <v>7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 t="shared" si="6"/>
        <v>0.70833333333333337</v>
      </c>
      <c r="AE11" s="36">
        <f t="shared" si="7"/>
        <v>0.42613636363636365</v>
      </c>
      <c r="AF11" s="81">
        <f t="shared" si="8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v>70000</v>
      </c>
      <c r="J12" s="5">
        <v>5184</v>
      </c>
      <c r="K12" s="15">
        <f>L12+5056+5299+5142+4725+5285+5308+3502+5153+5075+5268+5338+5267</f>
        <v>65602</v>
      </c>
      <c r="L12" s="15">
        <f>2691+2493</f>
        <v>5184</v>
      </c>
      <c r="M12" s="15">
        <f t="shared" si="0"/>
        <v>5184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0.42613636363636365</v>
      </c>
      <c r="AF12" s="81">
        <f t="shared" si="8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100000</v>
      </c>
      <c r="J13" s="14">
        <v>16995</v>
      </c>
      <c r="K13" s="15">
        <f>L13+15812+27532+25338</f>
        <v>85677</v>
      </c>
      <c r="L13" s="15">
        <f>3393*3+808*3+2196*2</f>
        <v>16995</v>
      </c>
      <c r="M13" s="15">
        <f t="shared" si="0"/>
        <v>16995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6">
        <f t="shared" si="7"/>
        <v>0.42613636363636365</v>
      </c>
      <c r="AF13" s="81">
        <f t="shared" si="8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167</v>
      </c>
      <c r="F14" s="30" t="s">
        <v>165</v>
      </c>
      <c r="G14" s="33">
        <v>1</v>
      </c>
      <c r="H14" s="35">
        <v>30</v>
      </c>
      <c r="I14" s="7">
        <v>3500</v>
      </c>
      <c r="J14" s="5">
        <v>1166</v>
      </c>
      <c r="K14" s="15">
        <f>L14+1335+1471+1250+714+1144+1166</f>
        <v>7080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0.42613636363636365</v>
      </c>
      <c r="AF14" s="81">
        <f t="shared" si="8"/>
        <v>9</v>
      </c>
    </row>
    <row r="15" spans="1:32" ht="27" customHeight="1">
      <c r="A15" s="92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0.42613636363636365</v>
      </c>
      <c r="AF15" s="81">
        <f t="shared" si="8"/>
        <v>10</v>
      </c>
    </row>
    <row r="16" spans="1:32" ht="27" customHeight="1">
      <c r="A16" s="107">
        <v>11</v>
      </c>
      <c r="B16" s="11" t="s">
        <v>57</v>
      </c>
      <c r="C16" s="34" t="s">
        <v>112</v>
      </c>
      <c r="D16" s="52" t="s">
        <v>121</v>
      </c>
      <c r="E16" s="53" t="s">
        <v>300</v>
      </c>
      <c r="F16" s="30" t="s">
        <v>130</v>
      </c>
      <c r="G16" s="12">
        <v>2</v>
      </c>
      <c r="H16" s="13">
        <v>24</v>
      </c>
      <c r="I16" s="7">
        <v>27000</v>
      </c>
      <c r="J16" s="14">
        <v>9504</v>
      </c>
      <c r="K16" s="15">
        <f>L16+7530</f>
        <v>17034</v>
      </c>
      <c r="L16" s="15">
        <f>3192*2+1560*2</f>
        <v>9504</v>
      </c>
      <c r="M16" s="15">
        <f t="shared" si="0"/>
        <v>9504</v>
      </c>
      <c r="N16" s="15">
        <v>0</v>
      </c>
      <c r="O16" s="58">
        <f t="shared" si="1"/>
        <v>0</v>
      </c>
      <c r="P16" s="39">
        <f t="shared" si="2"/>
        <v>21</v>
      </c>
      <c r="Q16" s="40">
        <f t="shared" si="3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6">
        <f t="shared" si="7"/>
        <v>0.42613636363636365</v>
      </c>
      <c r="AF16" s="81">
        <f t="shared" si="8"/>
        <v>11</v>
      </c>
    </row>
    <row r="17" spans="1:32" ht="27" customHeight="1">
      <c r="A17" s="92">
        <v>12</v>
      </c>
      <c r="B17" s="11" t="s">
        <v>57</v>
      </c>
      <c r="C17" s="34" t="s">
        <v>129</v>
      </c>
      <c r="D17" s="52" t="s">
        <v>162</v>
      </c>
      <c r="E17" s="53" t="s">
        <v>163</v>
      </c>
      <c r="F17" s="30" t="s">
        <v>148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0.42613636363636365</v>
      </c>
      <c r="AF17" s="81">
        <f t="shared" si="8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171</v>
      </c>
      <c r="F18" s="30" t="s">
        <v>144</v>
      </c>
      <c r="G18" s="12">
        <v>2</v>
      </c>
      <c r="H18" s="13">
        <v>22</v>
      </c>
      <c r="I18" s="31">
        <v>30000</v>
      </c>
      <c r="J18" s="5">
        <v>11326</v>
      </c>
      <c r="K18" s="15">
        <f>L18+9826+11714+9940+10864+11326</f>
        <v>53670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0.42613636363636365</v>
      </c>
      <c r="AF18" s="81">
        <f t="shared" si="8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360000</v>
      </c>
      <c r="J19" s="14">
        <v>22632</v>
      </c>
      <c r="K19" s="15">
        <f>L19+16424+3460+8466+14048+14809+10420+6468+20028+25064+24256+18744+23224+19112+21656+19860+24856+20332+13908+23312</f>
        <v>351079</v>
      </c>
      <c r="L19" s="15">
        <f>2983*4+2675*4</f>
        <v>22632</v>
      </c>
      <c r="M19" s="15">
        <f t="shared" si="0"/>
        <v>22632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0.42613636363636365</v>
      </c>
      <c r="AF19" s="81">
        <f t="shared" si="8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0.42613636363636365</v>
      </c>
      <c r="AF20" s="81">
        <f t="shared" si="8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159</v>
      </c>
      <c r="F21" s="12" t="s">
        <v>114</v>
      </c>
      <c r="G21" s="12">
        <v>3</v>
      </c>
      <c r="H21" s="35">
        <v>20</v>
      </c>
      <c r="I21" s="7">
        <v>300000</v>
      </c>
      <c r="J21" s="14">
        <v>40014</v>
      </c>
      <c r="K21" s="15">
        <f>L21+30164+39608+36320+8901+45027+47694</f>
        <v>247728</v>
      </c>
      <c r="L21" s="15">
        <f>8161*3+5177*3</f>
        <v>40014</v>
      </c>
      <c r="M21" s="15">
        <f t="shared" si="0"/>
        <v>40014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0.42613636363636365</v>
      </c>
      <c r="AF21" s="81">
        <f t="shared" si="8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0.42613636363636365</v>
      </c>
      <c r="AF22" s="81">
        <f t="shared" si="8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0.42613636363636365</v>
      </c>
      <c r="AF23" s="81">
        <f t="shared" si="8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0.42613636363636365</v>
      </c>
      <c r="AF24" s="81">
        <f t="shared" si="8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0.42613636363636365</v>
      </c>
      <c r="AF25" s="81">
        <f t="shared" si="8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0.42613636363636365</v>
      </c>
      <c r="AF26" s="81">
        <f t="shared" si="8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0.42613636363636365</v>
      </c>
      <c r="AF27" s="81">
        <f t="shared" si="8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1589900</v>
      </c>
      <c r="J28" s="19">
        <f t="shared" si="10"/>
        <v>267271</v>
      </c>
      <c r="K28" s="20">
        <f t="shared" si="10"/>
        <v>1522977</v>
      </c>
      <c r="L28" s="21">
        <f t="shared" si="10"/>
        <v>122132</v>
      </c>
      <c r="M28" s="20">
        <f t="shared" si="10"/>
        <v>122132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225</v>
      </c>
      <c r="Q28" s="43">
        <f t="shared" si="11"/>
        <v>303</v>
      </c>
      <c r="R28" s="23">
        <f t="shared" si="11"/>
        <v>0</v>
      </c>
      <c r="S28" s="24">
        <f t="shared" si="11"/>
        <v>14</v>
      </c>
      <c r="T28" s="24">
        <f t="shared" si="11"/>
        <v>17</v>
      </c>
      <c r="U28" s="24">
        <f t="shared" si="11"/>
        <v>0</v>
      </c>
      <c r="V28" s="25">
        <f t="shared" si="11"/>
        <v>24</v>
      </c>
      <c r="W28" s="26">
        <f t="shared" si="11"/>
        <v>240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8</v>
      </c>
      <c r="AB28" s="28">
        <f>AVERAGE(AB6:AB27)</f>
        <v>0.55000000000000004</v>
      </c>
      <c r="AC28" s="4">
        <f>AVERAGE(AC6:AC27)</f>
        <v>0.42613636363636365</v>
      </c>
      <c r="AD28" s="4">
        <f>AVERAGE(AD6:AD27)</f>
        <v>0.42613636363636365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340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349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180" t="s">
        <v>46</v>
      </c>
      <c r="D57" s="180" t="s">
        <v>47</v>
      </c>
      <c r="E57" s="180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180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116</v>
      </c>
      <c r="B58" s="411"/>
      <c r="C58" s="176" t="s">
        <v>152</v>
      </c>
      <c r="D58" s="176" t="s">
        <v>146</v>
      </c>
      <c r="E58" s="176" t="s">
        <v>293</v>
      </c>
      <c r="F58" s="412" t="s">
        <v>341</v>
      </c>
      <c r="G58" s="413"/>
      <c r="H58" s="413"/>
      <c r="I58" s="413"/>
      <c r="J58" s="413"/>
      <c r="K58" s="413"/>
      <c r="L58" s="413"/>
      <c r="M58" s="414"/>
      <c r="N58" s="179" t="s">
        <v>112</v>
      </c>
      <c r="O58" s="173" t="s">
        <v>152</v>
      </c>
      <c r="P58" s="415" t="s">
        <v>350</v>
      </c>
      <c r="Q58" s="416"/>
      <c r="R58" s="415" t="s">
        <v>351</v>
      </c>
      <c r="S58" s="417"/>
      <c r="T58" s="417"/>
      <c r="U58" s="416"/>
      <c r="V58" s="412" t="s">
        <v>122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112</v>
      </c>
      <c r="B59" s="411"/>
      <c r="C59" s="176" t="s">
        <v>311</v>
      </c>
      <c r="D59" s="176" t="s">
        <v>310</v>
      </c>
      <c r="E59" s="176" t="s">
        <v>309</v>
      </c>
      <c r="F59" s="412" t="s">
        <v>342</v>
      </c>
      <c r="G59" s="413"/>
      <c r="H59" s="413"/>
      <c r="I59" s="413"/>
      <c r="J59" s="413"/>
      <c r="K59" s="413"/>
      <c r="L59" s="413"/>
      <c r="M59" s="414"/>
      <c r="N59" s="179" t="s">
        <v>112</v>
      </c>
      <c r="O59" s="173" t="s">
        <v>356</v>
      </c>
      <c r="P59" s="415" t="s">
        <v>357</v>
      </c>
      <c r="Q59" s="416"/>
      <c r="R59" s="415" t="s">
        <v>354</v>
      </c>
      <c r="S59" s="417"/>
      <c r="T59" s="417"/>
      <c r="U59" s="416"/>
      <c r="V59" s="412" t="s">
        <v>355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303</v>
      </c>
      <c r="B60" s="411"/>
      <c r="C60" s="176" t="s">
        <v>304</v>
      </c>
      <c r="D60" s="176" t="s">
        <v>305</v>
      </c>
      <c r="E60" s="176" t="s">
        <v>306</v>
      </c>
      <c r="F60" s="412" t="s">
        <v>343</v>
      </c>
      <c r="G60" s="413"/>
      <c r="H60" s="413"/>
      <c r="I60" s="413"/>
      <c r="J60" s="413"/>
      <c r="K60" s="413"/>
      <c r="L60" s="413"/>
      <c r="M60" s="414"/>
      <c r="N60" s="179" t="s">
        <v>112</v>
      </c>
      <c r="O60" s="173" t="s">
        <v>314</v>
      </c>
      <c r="P60" s="415" t="s">
        <v>353</v>
      </c>
      <c r="Q60" s="416"/>
      <c r="R60" s="415" t="s">
        <v>352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116</v>
      </c>
      <c r="B61" s="411"/>
      <c r="C61" s="176" t="s">
        <v>230</v>
      </c>
      <c r="D61" s="176" t="s">
        <v>131</v>
      </c>
      <c r="E61" s="176" t="s">
        <v>229</v>
      </c>
      <c r="F61" s="412" t="s">
        <v>344</v>
      </c>
      <c r="G61" s="413"/>
      <c r="H61" s="413"/>
      <c r="I61" s="413"/>
      <c r="J61" s="413"/>
      <c r="K61" s="413"/>
      <c r="L61" s="413"/>
      <c r="M61" s="414"/>
      <c r="N61" s="179" t="s">
        <v>112</v>
      </c>
      <c r="O61" s="173" t="s">
        <v>359</v>
      </c>
      <c r="P61" s="415" t="s">
        <v>360</v>
      </c>
      <c r="Q61" s="416"/>
      <c r="R61" s="415" t="s">
        <v>358</v>
      </c>
      <c r="S61" s="417"/>
      <c r="T61" s="417"/>
      <c r="U61" s="416"/>
      <c r="V61" s="412" t="s">
        <v>355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176" t="s">
        <v>181</v>
      </c>
      <c r="D62" s="176" t="s">
        <v>121</v>
      </c>
      <c r="E62" s="176" t="s">
        <v>338</v>
      </c>
      <c r="F62" s="412" t="s">
        <v>345</v>
      </c>
      <c r="G62" s="413"/>
      <c r="H62" s="413"/>
      <c r="I62" s="413"/>
      <c r="J62" s="413"/>
      <c r="K62" s="413"/>
      <c r="L62" s="413"/>
      <c r="M62" s="414"/>
      <c r="N62" s="179"/>
      <c r="O62" s="173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176" t="s">
        <v>346</v>
      </c>
      <c r="D63" s="176" t="s">
        <v>347</v>
      </c>
      <c r="E63" s="176" t="s">
        <v>348</v>
      </c>
      <c r="F63" s="412" t="s">
        <v>122</v>
      </c>
      <c r="G63" s="413"/>
      <c r="H63" s="413"/>
      <c r="I63" s="413"/>
      <c r="J63" s="413"/>
      <c r="K63" s="413"/>
      <c r="L63" s="413"/>
      <c r="M63" s="414"/>
      <c r="N63" s="179"/>
      <c r="O63" s="173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176"/>
      <c r="D64" s="176"/>
      <c r="E64" s="176"/>
      <c r="F64" s="412"/>
      <c r="G64" s="413"/>
      <c r="H64" s="413"/>
      <c r="I64" s="413"/>
      <c r="J64" s="413"/>
      <c r="K64" s="413"/>
      <c r="L64" s="413"/>
      <c r="M64" s="414"/>
      <c r="N64" s="179"/>
      <c r="O64" s="173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175"/>
      <c r="D65" s="175"/>
      <c r="E65" s="176"/>
      <c r="F65" s="412"/>
      <c r="G65" s="413"/>
      <c r="H65" s="413"/>
      <c r="I65" s="413"/>
      <c r="J65" s="413"/>
      <c r="K65" s="413"/>
      <c r="L65" s="413"/>
      <c r="M65" s="414"/>
      <c r="N65" s="179"/>
      <c r="O65" s="173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75"/>
      <c r="D66" s="175"/>
      <c r="E66" s="176"/>
      <c r="F66" s="412"/>
      <c r="G66" s="413"/>
      <c r="H66" s="413"/>
      <c r="I66" s="413"/>
      <c r="J66" s="413"/>
      <c r="K66" s="413"/>
      <c r="L66" s="413"/>
      <c r="M66" s="414"/>
      <c r="N66" s="179"/>
      <c r="O66" s="173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177"/>
      <c r="D67" s="178"/>
      <c r="E67" s="177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361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174" t="s">
        <v>2</v>
      </c>
      <c r="D69" s="174" t="s">
        <v>37</v>
      </c>
      <c r="E69" s="174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174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129</v>
      </c>
      <c r="D70" s="169"/>
      <c r="E70" s="172" t="s">
        <v>131</v>
      </c>
      <c r="F70" s="437" t="s">
        <v>275</v>
      </c>
      <c r="G70" s="438"/>
      <c r="H70" s="438"/>
      <c r="I70" s="438"/>
      <c r="J70" s="438"/>
      <c r="K70" s="438" t="s">
        <v>278</v>
      </c>
      <c r="L70" s="438"/>
      <c r="M70" s="51" t="s">
        <v>319</v>
      </c>
      <c r="N70" s="439" t="s">
        <v>320</v>
      </c>
      <c r="O70" s="439"/>
      <c r="P70" s="440">
        <v>100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112</v>
      </c>
      <c r="D71" s="169"/>
      <c r="E71" s="172" t="s">
        <v>350</v>
      </c>
      <c r="F71" s="443" t="s">
        <v>362</v>
      </c>
      <c r="G71" s="444"/>
      <c r="H71" s="444"/>
      <c r="I71" s="444"/>
      <c r="J71" s="445"/>
      <c r="K71" s="438" t="s">
        <v>145</v>
      </c>
      <c r="L71" s="438"/>
      <c r="M71" s="51" t="s">
        <v>184</v>
      </c>
      <c r="N71" s="439" t="s">
        <v>152</v>
      </c>
      <c r="O71" s="439"/>
      <c r="P71" s="440">
        <v>200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/>
      <c r="D72" s="169"/>
      <c r="E72" s="172"/>
      <c r="F72" s="437"/>
      <c r="G72" s="438"/>
      <c r="H72" s="438"/>
      <c r="I72" s="438"/>
      <c r="J72" s="438"/>
      <c r="K72" s="438"/>
      <c r="L72" s="438"/>
      <c r="M72" s="51"/>
      <c r="N72" s="439"/>
      <c r="O72" s="439"/>
      <c r="P72" s="440"/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/>
      <c r="D73" s="169"/>
      <c r="E73" s="172"/>
      <c r="F73" s="443"/>
      <c r="G73" s="444"/>
      <c r="H73" s="444"/>
      <c r="I73" s="444"/>
      <c r="J73" s="445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169"/>
      <c r="E74" s="172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169"/>
      <c r="E75" s="172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169"/>
      <c r="E76" s="172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169"/>
      <c r="E77" s="172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169"/>
      <c r="E78" s="172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169"/>
      <c r="E79" s="172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363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171" t="s">
        <v>2</v>
      </c>
      <c r="D81" s="171" t="s">
        <v>37</v>
      </c>
      <c r="E81" s="171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170"/>
      <c r="D82" s="170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169"/>
      <c r="D83" s="169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169"/>
      <c r="D84" s="169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169"/>
      <c r="D85" s="169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169"/>
      <c r="D86" s="169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169"/>
      <c r="D87" s="169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169"/>
      <c r="D88" s="169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364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D009-A883-47E3-AA93-712C213CD149}">
  <sheetPr>
    <pageSetUpPr fitToPage="1"/>
  </sheetPr>
  <dimension ref="A1:AF93"/>
  <sheetViews>
    <sheetView view="pageBreakPreview" topLeftCell="A49" zoomScale="70" zoomScaleNormal="72" zoomScaleSheetLayoutView="70" workbookViewId="0">
      <selection activeCell="E72" sqref="E72:Q7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365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94" t="s">
        <v>17</v>
      </c>
      <c r="L5" s="194" t="s">
        <v>18</v>
      </c>
      <c r="M5" s="194" t="s">
        <v>19</v>
      </c>
      <c r="N5" s="1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112</v>
      </c>
      <c r="D6" s="52" t="s">
        <v>350</v>
      </c>
      <c r="E6" s="53" t="s">
        <v>351</v>
      </c>
      <c r="F6" s="30" t="s">
        <v>145</v>
      </c>
      <c r="G6" s="12">
        <v>1</v>
      </c>
      <c r="H6" s="13">
        <v>24</v>
      </c>
      <c r="I6" s="31">
        <v>1000</v>
      </c>
      <c r="J6" s="14">
        <v>1301</v>
      </c>
      <c r="K6" s="15">
        <f>L6</f>
        <v>1301</v>
      </c>
      <c r="L6" s="15">
        <v>1301</v>
      </c>
      <c r="M6" s="15">
        <f t="shared" ref="M6:M27" si="0">L6-N6</f>
        <v>1301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7</v>
      </c>
      <c r="Q6" s="40">
        <f t="shared" ref="Q6:Q27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0.29166666666666669</v>
      </c>
      <c r="AD6" s="10">
        <f t="shared" ref="AD6:AD27" si="6">AC6*AB6*(1-O6)</f>
        <v>0.29166666666666669</v>
      </c>
      <c r="AE6" s="36">
        <f t="shared" ref="AE6:AE27" si="7">$AD$28</f>
        <v>0.34848484848484851</v>
      </c>
      <c r="AF6" s="81">
        <f t="shared" ref="AF6:AF27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310</v>
      </c>
      <c r="E7" s="53" t="s">
        <v>309</v>
      </c>
      <c r="F7" s="30" t="s">
        <v>337</v>
      </c>
      <c r="G7" s="12">
        <v>2</v>
      </c>
      <c r="H7" s="13">
        <v>24</v>
      </c>
      <c r="I7" s="31">
        <v>28000</v>
      </c>
      <c r="J7" s="14">
        <v>11718</v>
      </c>
      <c r="K7" s="15">
        <f>L7+10610</f>
        <v>22328</v>
      </c>
      <c r="L7" s="15">
        <f>3174*2+2685*2</f>
        <v>11718</v>
      </c>
      <c r="M7" s="15">
        <f t="shared" si="0"/>
        <v>11718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0.34848484848484851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116</v>
      </c>
      <c r="D8" s="52" t="s">
        <v>115</v>
      </c>
      <c r="E8" s="53" t="s">
        <v>271</v>
      </c>
      <c r="F8" s="30" t="s">
        <v>144</v>
      </c>
      <c r="G8" s="12">
        <v>1</v>
      </c>
      <c r="H8" s="13">
        <v>24</v>
      </c>
      <c r="I8" s="7">
        <v>7000</v>
      </c>
      <c r="J8" s="14">
        <v>5558</v>
      </c>
      <c r="K8" s="15">
        <f>L8+5046+5664</f>
        <v>16268</v>
      </c>
      <c r="L8" s="15">
        <f>2999+2559</f>
        <v>5558</v>
      </c>
      <c r="M8" s="15">
        <f t="shared" si="0"/>
        <v>5558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0.34848484848484851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4333</v>
      </c>
      <c r="K9" s="15">
        <f>L9+673+1147+3717</f>
        <v>9870</v>
      </c>
      <c r="L9" s="15">
        <f>2028+2305</f>
        <v>4333</v>
      </c>
      <c r="M9" s="15">
        <f t="shared" si="0"/>
        <v>4333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0.34848484848484851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121</v>
      </c>
      <c r="E10" s="53" t="s">
        <v>312</v>
      </c>
      <c r="F10" s="30" t="s">
        <v>130</v>
      </c>
      <c r="G10" s="33">
        <v>1</v>
      </c>
      <c r="H10" s="35">
        <v>24</v>
      </c>
      <c r="I10" s="7">
        <v>10000</v>
      </c>
      <c r="J10" s="14">
        <v>3094</v>
      </c>
      <c r="K10" s="15">
        <f>L10</f>
        <v>3094</v>
      </c>
      <c r="L10" s="15">
        <f>3094</f>
        <v>3094</v>
      </c>
      <c r="M10" s="15">
        <f t="shared" si="0"/>
        <v>3094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/>
      <c r="T10" s="16">
        <v>10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6">
        <f t="shared" si="7"/>
        <v>0.34848484848484851</v>
      </c>
      <c r="AF10" s="81">
        <f t="shared" si="8"/>
        <v>5</v>
      </c>
    </row>
    <row r="11" spans="1:32" ht="27" customHeight="1">
      <c r="A11" s="93">
        <v>6</v>
      </c>
      <c r="B11" s="11" t="s">
        <v>57</v>
      </c>
      <c r="C11" s="11" t="s">
        <v>112</v>
      </c>
      <c r="D11" s="52" t="s">
        <v>353</v>
      </c>
      <c r="E11" s="53" t="s">
        <v>352</v>
      </c>
      <c r="F11" s="30" t="s">
        <v>366</v>
      </c>
      <c r="G11" s="33">
        <v>2</v>
      </c>
      <c r="H11" s="35">
        <v>24</v>
      </c>
      <c r="I11" s="7">
        <v>3000</v>
      </c>
      <c r="J11" s="14">
        <v>3576</v>
      </c>
      <c r="K11" s="15">
        <f>L11</f>
        <v>3576</v>
      </c>
      <c r="L11" s="15">
        <f>1788*2</f>
        <v>3576</v>
      </c>
      <c r="M11" s="15">
        <f t="shared" si="0"/>
        <v>3576</v>
      </c>
      <c r="N11" s="15">
        <v>0</v>
      </c>
      <c r="O11" s="58">
        <f t="shared" si="1"/>
        <v>0</v>
      </c>
      <c r="P11" s="39">
        <f t="shared" si="2"/>
        <v>9</v>
      </c>
      <c r="Q11" s="40">
        <f t="shared" si="3"/>
        <v>15</v>
      </c>
      <c r="R11" s="7"/>
      <c r="S11" s="6"/>
      <c r="T11" s="16"/>
      <c r="U11" s="16"/>
      <c r="V11" s="17"/>
      <c r="W11" s="5">
        <v>15</v>
      </c>
      <c r="X11" s="16"/>
      <c r="Y11" s="16"/>
      <c r="Z11" s="16"/>
      <c r="AA11" s="18"/>
      <c r="AB11" s="8">
        <f t="shared" si="4"/>
        <v>1</v>
      </c>
      <c r="AC11" s="9">
        <f t="shared" si="5"/>
        <v>0.375</v>
      </c>
      <c r="AD11" s="10">
        <f t="shared" si="6"/>
        <v>0.375</v>
      </c>
      <c r="AE11" s="36">
        <f t="shared" si="7"/>
        <v>0.34848484848484851</v>
      </c>
      <c r="AF11" s="81">
        <f t="shared" si="8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5110</v>
      </c>
      <c r="K12" s="15">
        <f>L12+5056+5299+5142+4725+5285+5308+3502+5153+5075+5268+5338+5267+5184</f>
        <v>70712</v>
      </c>
      <c r="L12" s="15">
        <f>2694+2416</f>
        <v>5110</v>
      </c>
      <c r="M12" s="15">
        <f t="shared" si="0"/>
        <v>5110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0.34848484848484851</v>
      </c>
      <c r="AF12" s="81">
        <f t="shared" si="8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100000</v>
      </c>
      <c r="J13" s="14">
        <v>13672</v>
      </c>
      <c r="K13" s="15">
        <f>L13+15812+27532+25338+16995</f>
        <v>99349</v>
      </c>
      <c r="L13" s="15">
        <f>3418*4</f>
        <v>13672</v>
      </c>
      <c r="M13" s="15">
        <f t="shared" si="0"/>
        <v>13672</v>
      </c>
      <c r="N13" s="15">
        <v>0</v>
      </c>
      <c r="O13" s="58">
        <f t="shared" si="1"/>
        <v>0</v>
      </c>
      <c r="P13" s="39">
        <f t="shared" si="2"/>
        <v>16</v>
      </c>
      <c r="Q13" s="40">
        <f t="shared" si="3"/>
        <v>8</v>
      </c>
      <c r="R13" s="7"/>
      <c r="S13" s="6">
        <v>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0.66666666666666663</v>
      </c>
      <c r="AD13" s="10">
        <f t="shared" si="6"/>
        <v>0.66666666666666663</v>
      </c>
      <c r="AE13" s="36">
        <f t="shared" si="7"/>
        <v>0.34848484848484851</v>
      </c>
      <c r="AF13" s="81">
        <f t="shared" si="8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167</v>
      </c>
      <c r="F14" s="30" t="s">
        <v>165</v>
      </c>
      <c r="G14" s="33">
        <v>1</v>
      </c>
      <c r="H14" s="35">
        <v>30</v>
      </c>
      <c r="I14" s="7">
        <v>3500</v>
      </c>
      <c r="J14" s="5">
        <v>1166</v>
      </c>
      <c r="K14" s="15">
        <f>L14+1335+1471+1250+714+1144+1166</f>
        <v>7080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0.34848484848484851</v>
      </c>
      <c r="AF14" s="81">
        <f t="shared" si="8"/>
        <v>9</v>
      </c>
    </row>
    <row r="15" spans="1:32" ht="27" customHeight="1">
      <c r="A15" s="107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0.34848484848484851</v>
      </c>
      <c r="AF15" s="81">
        <f t="shared" si="8"/>
        <v>10</v>
      </c>
    </row>
    <row r="16" spans="1:32" ht="27" customHeight="1">
      <c r="A16" s="107">
        <v>11</v>
      </c>
      <c r="B16" s="11" t="s">
        <v>57</v>
      </c>
      <c r="C16" s="34" t="s">
        <v>112</v>
      </c>
      <c r="D16" s="52" t="s">
        <v>121</v>
      </c>
      <c r="E16" s="53" t="s">
        <v>300</v>
      </c>
      <c r="F16" s="30" t="s">
        <v>130</v>
      </c>
      <c r="G16" s="12">
        <v>2</v>
      </c>
      <c r="H16" s="13">
        <v>24</v>
      </c>
      <c r="I16" s="7">
        <v>27000</v>
      </c>
      <c r="J16" s="14">
        <v>2748</v>
      </c>
      <c r="K16" s="15">
        <f>L16+7530+9504</f>
        <v>19782</v>
      </c>
      <c r="L16" s="15">
        <f>1006*2+368*2</f>
        <v>2748</v>
      </c>
      <c r="M16" s="15">
        <f t="shared" si="0"/>
        <v>2748</v>
      </c>
      <c r="N16" s="15">
        <v>0</v>
      </c>
      <c r="O16" s="58">
        <f t="shared" si="1"/>
        <v>0</v>
      </c>
      <c r="P16" s="39">
        <f t="shared" si="2"/>
        <v>6</v>
      </c>
      <c r="Q16" s="40">
        <f t="shared" si="3"/>
        <v>18</v>
      </c>
      <c r="R16" s="7"/>
      <c r="S16" s="6">
        <v>18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6">
        <f t="shared" si="7"/>
        <v>0.34848484848484851</v>
      </c>
      <c r="AF16" s="81">
        <f t="shared" si="8"/>
        <v>11</v>
      </c>
    </row>
    <row r="17" spans="1:32" ht="27" customHeight="1">
      <c r="A17" s="107">
        <v>12</v>
      </c>
      <c r="B17" s="11" t="s">
        <v>57</v>
      </c>
      <c r="C17" s="34" t="s">
        <v>129</v>
      </c>
      <c r="D17" s="52" t="s">
        <v>162</v>
      </c>
      <c r="E17" s="53" t="s">
        <v>163</v>
      </c>
      <c r="F17" s="30" t="s">
        <v>148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0.34848484848484851</v>
      </c>
      <c r="AF17" s="81">
        <f t="shared" si="8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171</v>
      </c>
      <c r="F18" s="30" t="s">
        <v>144</v>
      </c>
      <c r="G18" s="12">
        <v>2</v>
      </c>
      <c r="H18" s="13">
        <v>22</v>
      </c>
      <c r="I18" s="31">
        <v>30000</v>
      </c>
      <c r="J18" s="5">
        <v>11326</v>
      </c>
      <c r="K18" s="15">
        <f>L18+9826+11714+9940+10864+11326</f>
        <v>53670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0.34848484848484851</v>
      </c>
      <c r="AF18" s="81">
        <f t="shared" si="8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360000</v>
      </c>
      <c r="J19" s="14">
        <v>21852</v>
      </c>
      <c r="K19" s="15">
        <f>L19+16424+3460+8466+14048+14809+10420+6468+20028+25064+24256+18744+23224+19112+21656+19860+24856+20332+13908+23312+22632</f>
        <v>372931</v>
      </c>
      <c r="L19" s="15">
        <f>2915*4+2548*4</f>
        <v>21852</v>
      </c>
      <c r="M19" s="15">
        <f t="shared" si="0"/>
        <v>21852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0.34848484848484851</v>
      </c>
      <c r="AF19" s="81">
        <f t="shared" si="8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0.34848484848484851</v>
      </c>
      <c r="AF20" s="81">
        <f t="shared" si="8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159</v>
      </c>
      <c r="F21" s="12" t="s">
        <v>114</v>
      </c>
      <c r="G21" s="12">
        <v>3</v>
      </c>
      <c r="H21" s="35">
        <v>20</v>
      </c>
      <c r="I21" s="7">
        <v>300000</v>
      </c>
      <c r="J21" s="14">
        <v>19857</v>
      </c>
      <c r="K21" s="15">
        <f>L21+30164+39608+36320+8901+45027+47694+40014</f>
        <v>267585</v>
      </c>
      <c r="L21" s="15">
        <f>6216*3+403*3</f>
        <v>19857</v>
      </c>
      <c r="M21" s="15">
        <f t="shared" si="0"/>
        <v>19857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0.34848484848484851</v>
      </c>
      <c r="AF21" s="81">
        <f t="shared" si="8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0.34848484848484851</v>
      </c>
      <c r="AF22" s="81">
        <f t="shared" si="8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0.34848484848484851</v>
      </c>
      <c r="AF23" s="81">
        <f t="shared" si="8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0.34848484848484851</v>
      </c>
      <c r="AF24" s="81">
        <f t="shared" si="8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0.34848484848484851</v>
      </c>
      <c r="AF25" s="81">
        <f t="shared" si="8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0.34848484848484851</v>
      </c>
      <c r="AF26" s="81">
        <f t="shared" si="8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0.34848484848484851</v>
      </c>
      <c r="AF27" s="81">
        <f t="shared" si="8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1709500</v>
      </c>
      <c r="J28" s="19">
        <f t="shared" si="10"/>
        <v>237958</v>
      </c>
      <c r="K28" s="20">
        <f t="shared" si="10"/>
        <v>1607984</v>
      </c>
      <c r="L28" s="21">
        <f t="shared" si="10"/>
        <v>92819</v>
      </c>
      <c r="M28" s="20">
        <f t="shared" si="10"/>
        <v>92819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184</v>
      </c>
      <c r="Q28" s="43">
        <f t="shared" si="11"/>
        <v>344</v>
      </c>
      <c r="R28" s="23">
        <f t="shared" si="11"/>
        <v>24</v>
      </c>
      <c r="S28" s="24">
        <f t="shared" si="11"/>
        <v>26</v>
      </c>
      <c r="T28" s="24">
        <f t="shared" si="11"/>
        <v>10</v>
      </c>
      <c r="U28" s="24">
        <f t="shared" si="11"/>
        <v>0</v>
      </c>
      <c r="V28" s="25">
        <f t="shared" si="11"/>
        <v>12</v>
      </c>
      <c r="W28" s="26">
        <f t="shared" si="11"/>
        <v>272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0.55000000000000004</v>
      </c>
      <c r="AC28" s="4">
        <f>AVERAGE(AC6:AC27)</f>
        <v>0.34848484848484851</v>
      </c>
      <c r="AD28" s="4">
        <f>AVERAGE(AD6:AD27)</f>
        <v>0.34848484848484851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367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369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193" t="s">
        <v>46</v>
      </c>
      <c r="D57" s="193" t="s">
        <v>47</v>
      </c>
      <c r="E57" s="193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193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112</v>
      </c>
      <c r="B58" s="411"/>
      <c r="C58" s="189" t="s">
        <v>152</v>
      </c>
      <c r="D58" s="189" t="s">
        <v>350</v>
      </c>
      <c r="E58" s="189" t="s">
        <v>351</v>
      </c>
      <c r="F58" s="412" t="s">
        <v>122</v>
      </c>
      <c r="G58" s="413"/>
      <c r="H58" s="413"/>
      <c r="I58" s="413"/>
      <c r="J58" s="413"/>
      <c r="K58" s="413"/>
      <c r="L58" s="413"/>
      <c r="M58" s="414"/>
      <c r="N58" s="192" t="s">
        <v>370</v>
      </c>
      <c r="O58" s="186" t="s">
        <v>152</v>
      </c>
      <c r="P58" s="415"/>
      <c r="Q58" s="416"/>
      <c r="R58" s="415" t="s">
        <v>156</v>
      </c>
      <c r="S58" s="417"/>
      <c r="T58" s="417"/>
      <c r="U58" s="416"/>
      <c r="V58" s="412" t="s">
        <v>122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129</v>
      </c>
      <c r="B59" s="411"/>
      <c r="C59" s="189" t="s">
        <v>181</v>
      </c>
      <c r="D59" s="189" t="s">
        <v>121</v>
      </c>
      <c r="E59" s="189" t="s">
        <v>312</v>
      </c>
      <c r="F59" s="412" t="s">
        <v>122</v>
      </c>
      <c r="G59" s="413"/>
      <c r="H59" s="413"/>
      <c r="I59" s="413"/>
      <c r="J59" s="413"/>
      <c r="K59" s="413"/>
      <c r="L59" s="413"/>
      <c r="M59" s="414"/>
      <c r="N59" s="192" t="s">
        <v>112</v>
      </c>
      <c r="O59" s="186" t="s">
        <v>151</v>
      </c>
      <c r="P59" s="415" t="s">
        <v>115</v>
      </c>
      <c r="Q59" s="416"/>
      <c r="R59" s="415" t="s">
        <v>289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189" t="s">
        <v>200</v>
      </c>
      <c r="D60" s="189" t="s">
        <v>121</v>
      </c>
      <c r="E60" s="189" t="s">
        <v>300</v>
      </c>
      <c r="F60" s="412" t="s">
        <v>307</v>
      </c>
      <c r="G60" s="413"/>
      <c r="H60" s="413"/>
      <c r="I60" s="413"/>
      <c r="J60" s="413"/>
      <c r="K60" s="413"/>
      <c r="L60" s="413"/>
      <c r="M60" s="414"/>
      <c r="N60" s="192" t="s">
        <v>112</v>
      </c>
      <c r="O60" s="186" t="s">
        <v>200</v>
      </c>
      <c r="P60" s="415" t="s">
        <v>121</v>
      </c>
      <c r="Q60" s="416"/>
      <c r="R60" s="415" t="s">
        <v>300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112</v>
      </c>
      <c r="B61" s="411"/>
      <c r="C61" s="189" t="s">
        <v>185</v>
      </c>
      <c r="D61" s="189" t="s">
        <v>353</v>
      </c>
      <c r="E61" s="189" t="s">
        <v>352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192"/>
      <c r="O61" s="186"/>
      <c r="P61" s="415"/>
      <c r="Q61" s="416"/>
      <c r="R61" s="415"/>
      <c r="S61" s="417"/>
      <c r="T61" s="417"/>
      <c r="U61" s="416"/>
      <c r="V61" s="412"/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189" t="s">
        <v>205</v>
      </c>
      <c r="D62" s="189" t="s">
        <v>154</v>
      </c>
      <c r="E62" s="189" t="s">
        <v>203</v>
      </c>
      <c r="F62" s="412" t="s">
        <v>368</v>
      </c>
      <c r="G62" s="413"/>
      <c r="H62" s="413"/>
      <c r="I62" s="413"/>
      <c r="J62" s="413"/>
      <c r="K62" s="413"/>
      <c r="L62" s="413"/>
      <c r="M62" s="414"/>
      <c r="N62" s="192"/>
      <c r="O62" s="186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/>
      <c r="B63" s="411"/>
      <c r="C63" s="189"/>
      <c r="D63" s="189"/>
      <c r="E63" s="189"/>
      <c r="F63" s="412"/>
      <c r="G63" s="413"/>
      <c r="H63" s="413"/>
      <c r="I63" s="413"/>
      <c r="J63" s="413"/>
      <c r="K63" s="413"/>
      <c r="L63" s="413"/>
      <c r="M63" s="414"/>
      <c r="N63" s="192"/>
      <c r="O63" s="186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189"/>
      <c r="D64" s="189"/>
      <c r="E64" s="189"/>
      <c r="F64" s="412"/>
      <c r="G64" s="413"/>
      <c r="H64" s="413"/>
      <c r="I64" s="413"/>
      <c r="J64" s="413"/>
      <c r="K64" s="413"/>
      <c r="L64" s="413"/>
      <c r="M64" s="414"/>
      <c r="N64" s="192"/>
      <c r="O64" s="186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188"/>
      <c r="D65" s="188"/>
      <c r="E65" s="189"/>
      <c r="F65" s="412"/>
      <c r="G65" s="413"/>
      <c r="H65" s="413"/>
      <c r="I65" s="413"/>
      <c r="J65" s="413"/>
      <c r="K65" s="413"/>
      <c r="L65" s="413"/>
      <c r="M65" s="414"/>
      <c r="N65" s="192"/>
      <c r="O65" s="186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88"/>
      <c r="D66" s="188"/>
      <c r="E66" s="189"/>
      <c r="F66" s="412"/>
      <c r="G66" s="413"/>
      <c r="H66" s="413"/>
      <c r="I66" s="413"/>
      <c r="J66" s="413"/>
      <c r="K66" s="413"/>
      <c r="L66" s="413"/>
      <c r="M66" s="414"/>
      <c r="N66" s="192"/>
      <c r="O66" s="186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190"/>
      <c r="D67" s="191"/>
      <c r="E67" s="190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371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187" t="s">
        <v>2</v>
      </c>
      <c r="D69" s="187" t="s">
        <v>37</v>
      </c>
      <c r="E69" s="187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187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129</v>
      </c>
      <c r="D70" s="182"/>
      <c r="E70" s="185" t="s">
        <v>154</v>
      </c>
      <c r="F70" s="437" t="s">
        <v>372</v>
      </c>
      <c r="G70" s="438"/>
      <c r="H70" s="438"/>
      <c r="I70" s="438"/>
      <c r="J70" s="438"/>
      <c r="K70" s="438">
        <v>7301</v>
      </c>
      <c r="L70" s="438"/>
      <c r="M70" s="51" t="s">
        <v>184</v>
      </c>
      <c r="N70" s="439" t="s">
        <v>185</v>
      </c>
      <c r="O70" s="439"/>
      <c r="P70" s="440">
        <v>200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112</v>
      </c>
      <c r="D71" s="182"/>
      <c r="E71" s="185" t="s">
        <v>374</v>
      </c>
      <c r="F71" s="443" t="s">
        <v>373</v>
      </c>
      <c r="G71" s="444"/>
      <c r="H71" s="444"/>
      <c r="I71" s="444"/>
      <c r="J71" s="445"/>
      <c r="K71" s="438" t="s">
        <v>144</v>
      </c>
      <c r="L71" s="438"/>
      <c r="M71" s="51" t="s">
        <v>210</v>
      </c>
      <c r="N71" s="439" t="s">
        <v>253</v>
      </c>
      <c r="O71" s="439"/>
      <c r="P71" s="440"/>
      <c r="Q71" s="440"/>
      <c r="R71" s="441" t="s">
        <v>375</v>
      </c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112</v>
      </c>
      <c r="D72" s="182"/>
      <c r="E72" s="185" t="s">
        <v>157</v>
      </c>
      <c r="F72" s="437" t="s">
        <v>376</v>
      </c>
      <c r="G72" s="438"/>
      <c r="H72" s="438"/>
      <c r="I72" s="438"/>
      <c r="J72" s="438"/>
      <c r="K72" s="438" t="s">
        <v>377</v>
      </c>
      <c r="L72" s="438"/>
      <c r="M72" s="51" t="s">
        <v>210</v>
      </c>
      <c r="N72" s="439" t="s">
        <v>253</v>
      </c>
      <c r="O72" s="439"/>
      <c r="P72" s="440">
        <v>50</v>
      </c>
      <c r="Q72" s="440"/>
      <c r="R72" s="441" t="s">
        <v>221</v>
      </c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/>
      <c r="D73" s="182"/>
      <c r="E73" s="185"/>
      <c r="F73" s="443"/>
      <c r="G73" s="444"/>
      <c r="H73" s="444"/>
      <c r="I73" s="444"/>
      <c r="J73" s="445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182"/>
      <c r="E74" s="185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182"/>
      <c r="E75" s="185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182"/>
      <c r="E76" s="185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182"/>
      <c r="E77" s="185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182"/>
      <c r="E78" s="185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182"/>
      <c r="E79" s="185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378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184" t="s">
        <v>2</v>
      </c>
      <c r="D81" s="184" t="s">
        <v>37</v>
      </c>
      <c r="E81" s="184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183"/>
      <c r="D82" s="183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182"/>
      <c r="D83" s="182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182"/>
      <c r="D84" s="182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182"/>
      <c r="D85" s="182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182"/>
      <c r="D86" s="182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182"/>
      <c r="D87" s="182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182"/>
      <c r="D88" s="182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379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293B-F404-4ADF-8F11-6B42C74BBFC0}">
  <sheetPr>
    <pageSetUpPr fitToPage="1"/>
  </sheetPr>
  <dimension ref="A1:AF93"/>
  <sheetViews>
    <sheetView view="pageBreakPreview" topLeftCell="A67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380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94" t="s">
        <v>17</v>
      </c>
      <c r="L5" s="194" t="s">
        <v>18</v>
      </c>
      <c r="M5" s="194" t="s">
        <v>19</v>
      </c>
      <c r="N5" s="1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</f>
        <v>2794</v>
      </c>
      <c r="L6" s="15">
        <f>1301+1493</f>
        <v>2794</v>
      </c>
      <c r="M6" s="15">
        <f t="shared" ref="M6:M27" si="0">L6-N6</f>
        <v>2794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15</v>
      </c>
      <c r="Q6" s="40">
        <f t="shared" ref="Q6:Q27" si="3">SUM(R6:AA6)</f>
        <v>9</v>
      </c>
      <c r="R6" s="7"/>
      <c r="S6" s="6">
        <v>4</v>
      </c>
      <c r="T6" s="16"/>
      <c r="U6" s="16"/>
      <c r="V6" s="17"/>
      <c r="W6" s="5">
        <v>5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0.625</v>
      </c>
      <c r="AD6" s="10">
        <f t="shared" ref="AD6:AD27" si="6">AC6*AB6*(1-O6)</f>
        <v>0.625</v>
      </c>
      <c r="AE6" s="36">
        <f t="shared" ref="AE6:AE27" si="7">$AD$28</f>
        <v>0.31060606060606061</v>
      </c>
      <c r="AF6" s="81">
        <f t="shared" ref="AF6:AF27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310</v>
      </c>
      <c r="E7" s="53" t="s">
        <v>309</v>
      </c>
      <c r="F7" s="30" t="s">
        <v>337</v>
      </c>
      <c r="G7" s="12">
        <v>2</v>
      </c>
      <c r="H7" s="13">
        <v>24</v>
      </c>
      <c r="I7" s="31">
        <v>28000</v>
      </c>
      <c r="J7" s="14">
        <v>12418</v>
      </c>
      <c r="K7" s="15">
        <f>L7+10610+11718</f>
        <v>34746</v>
      </c>
      <c r="L7" s="15">
        <f>3126*2+3083*2</f>
        <v>12418</v>
      </c>
      <c r="M7" s="15">
        <f t="shared" si="0"/>
        <v>12418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0.31060606060606061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24</v>
      </c>
      <c r="I8" s="7">
        <v>17000</v>
      </c>
      <c r="J8" s="14">
        <v>1990</v>
      </c>
      <c r="K8" s="15">
        <f>L8</f>
        <v>1990</v>
      </c>
      <c r="L8" s="15">
        <f>995*2</f>
        <v>1990</v>
      </c>
      <c r="M8" s="15">
        <f t="shared" si="0"/>
        <v>1990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>
        <v>19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0.31060606060606061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5116</v>
      </c>
      <c r="K9" s="15">
        <f>L9+673+1147+3717+4333</f>
        <v>14986</v>
      </c>
      <c r="L9" s="15">
        <f>2648+2468</f>
        <v>5116</v>
      </c>
      <c r="M9" s="15">
        <f t="shared" si="0"/>
        <v>5116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0.31060606060606061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121</v>
      </c>
      <c r="E10" s="53" t="s">
        <v>312</v>
      </c>
      <c r="F10" s="30" t="s">
        <v>130</v>
      </c>
      <c r="G10" s="33">
        <v>1</v>
      </c>
      <c r="H10" s="35">
        <v>24</v>
      </c>
      <c r="I10" s="7">
        <v>10000</v>
      </c>
      <c r="J10" s="14">
        <v>5773</v>
      </c>
      <c r="K10" s="15">
        <f>L10+3094</f>
        <v>8867</v>
      </c>
      <c r="L10" s="15">
        <f>2801+2972</f>
        <v>5773</v>
      </c>
      <c r="M10" s="15">
        <f t="shared" si="0"/>
        <v>5773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0.31060606060606061</v>
      </c>
      <c r="AF10" s="81">
        <f t="shared" si="8"/>
        <v>5</v>
      </c>
    </row>
    <row r="11" spans="1:32" ht="27" customHeight="1">
      <c r="A11" s="93">
        <v>6</v>
      </c>
      <c r="B11" s="11" t="s">
        <v>57</v>
      </c>
      <c r="C11" s="11" t="s">
        <v>112</v>
      </c>
      <c r="D11" s="52" t="s">
        <v>353</v>
      </c>
      <c r="E11" s="53" t="s">
        <v>352</v>
      </c>
      <c r="F11" s="30" t="s">
        <v>366</v>
      </c>
      <c r="G11" s="33">
        <v>2</v>
      </c>
      <c r="H11" s="35">
        <v>24</v>
      </c>
      <c r="I11" s="7">
        <v>3000</v>
      </c>
      <c r="J11" s="14">
        <v>3576</v>
      </c>
      <c r="K11" s="15">
        <f>L11+3576</f>
        <v>3576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0.31060606060606061</v>
      </c>
      <c r="AF11" s="81">
        <f t="shared" si="8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5267</v>
      </c>
      <c r="K12" s="15">
        <f>L12+5056+5299+5142+4725+5285+5308+3502+5153+5075+5268+5338+5267+5184+5110</f>
        <v>75979</v>
      </c>
      <c r="L12" s="15">
        <f>2649+2618</f>
        <v>5267</v>
      </c>
      <c r="M12" s="15">
        <f t="shared" si="0"/>
        <v>5267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0.31060606060606061</v>
      </c>
      <c r="AF12" s="81">
        <f t="shared" si="8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100000</v>
      </c>
      <c r="J13" s="14">
        <v>26388</v>
      </c>
      <c r="K13" s="15">
        <f>L13+15812+27532+25338+16995+13672</f>
        <v>125737</v>
      </c>
      <c r="L13" s="15">
        <f>3372*4+3225*4</f>
        <v>26388</v>
      </c>
      <c r="M13" s="15">
        <f t="shared" si="0"/>
        <v>26388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0.31060606060606061</v>
      </c>
      <c r="AF13" s="81">
        <f t="shared" si="8"/>
        <v>8</v>
      </c>
    </row>
    <row r="14" spans="1:32" ht="27" customHeight="1">
      <c r="A14" s="100">
        <v>9</v>
      </c>
      <c r="B14" s="11" t="s">
        <v>57</v>
      </c>
      <c r="C14" s="34" t="s">
        <v>173</v>
      </c>
      <c r="D14" s="52" t="s">
        <v>115</v>
      </c>
      <c r="E14" s="53" t="s">
        <v>382</v>
      </c>
      <c r="F14" s="30" t="s">
        <v>141</v>
      </c>
      <c r="G14" s="33">
        <v>1</v>
      </c>
      <c r="H14" s="35">
        <v>50</v>
      </c>
      <c r="I14" s="7">
        <v>100</v>
      </c>
      <c r="J14" s="5">
        <v>1166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0.31060606060606061</v>
      </c>
      <c r="AF14" s="81">
        <f t="shared" si="8"/>
        <v>9</v>
      </c>
    </row>
    <row r="15" spans="1:32" ht="27" customHeight="1">
      <c r="A15" s="107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>
        <v>0</v>
      </c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0.31060606060606061</v>
      </c>
      <c r="AF15" s="81">
        <f t="shared" si="8"/>
        <v>10</v>
      </c>
    </row>
    <row r="16" spans="1:32" ht="27" customHeight="1">
      <c r="A16" s="107">
        <v>11</v>
      </c>
      <c r="B16" s="11" t="s">
        <v>57</v>
      </c>
      <c r="C16" s="34" t="s">
        <v>112</v>
      </c>
      <c r="D16" s="52" t="s">
        <v>121</v>
      </c>
      <c r="E16" s="53" t="s">
        <v>300</v>
      </c>
      <c r="F16" s="30" t="s">
        <v>130</v>
      </c>
      <c r="G16" s="12">
        <v>2</v>
      </c>
      <c r="H16" s="13">
        <v>24</v>
      </c>
      <c r="I16" s="7">
        <v>27000</v>
      </c>
      <c r="J16" s="14">
        <v>2748</v>
      </c>
      <c r="K16" s="15">
        <f>L16+7530+9504+2748</f>
        <v>19782</v>
      </c>
      <c r="L16" s="15">
        <v>0</v>
      </c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0.31060606060606061</v>
      </c>
      <c r="AF16" s="81">
        <f t="shared" si="8"/>
        <v>11</v>
      </c>
    </row>
    <row r="17" spans="1:32" ht="27" customHeight="1">
      <c r="A17" s="107">
        <v>12</v>
      </c>
      <c r="B17" s="11" t="s">
        <v>57</v>
      </c>
      <c r="C17" s="34" t="s">
        <v>129</v>
      </c>
      <c r="D17" s="52" t="s">
        <v>162</v>
      </c>
      <c r="E17" s="53" t="s">
        <v>163</v>
      </c>
      <c r="F17" s="30" t="s">
        <v>148</v>
      </c>
      <c r="G17" s="12">
        <v>1</v>
      </c>
      <c r="H17" s="13">
        <v>24</v>
      </c>
      <c r="I17" s="7">
        <v>2000</v>
      </c>
      <c r="J17" s="14">
        <v>4211</v>
      </c>
      <c r="K17" s="15">
        <f>L17+4211</f>
        <v>4211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0.31060606060606061</v>
      </c>
      <c r="AF17" s="81">
        <f t="shared" si="8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171</v>
      </c>
      <c r="F18" s="30" t="s">
        <v>144</v>
      </c>
      <c r="G18" s="12">
        <v>2</v>
      </c>
      <c r="H18" s="13">
        <v>22</v>
      </c>
      <c r="I18" s="31">
        <v>30000</v>
      </c>
      <c r="J18" s="5">
        <v>11326</v>
      </c>
      <c r="K18" s="15">
        <f>L18+9826+11714+9940+10864+11326</f>
        <v>53670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0.31060606060606061</v>
      </c>
      <c r="AF18" s="81">
        <f t="shared" si="8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360000</v>
      </c>
      <c r="J19" s="14">
        <v>23044</v>
      </c>
      <c r="K19" s="15">
        <f>L19+16424+3460+8466+14048+14809+10420+6468+20028+25064+24256+18744+23224+19112+21656+19860+24856+20332+13908+23312+22632+21852</f>
        <v>395975</v>
      </c>
      <c r="L19" s="15">
        <f>2866*4+2895*4</f>
        <v>23044</v>
      </c>
      <c r="M19" s="15">
        <f t="shared" si="0"/>
        <v>23044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0.31060606060606061</v>
      </c>
      <c r="AF19" s="81">
        <f t="shared" si="8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0.31060606060606061</v>
      </c>
      <c r="AF20" s="81">
        <f t="shared" si="8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159</v>
      </c>
      <c r="F21" s="12" t="s">
        <v>114</v>
      </c>
      <c r="G21" s="12">
        <v>3</v>
      </c>
      <c r="H21" s="35">
        <v>20</v>
      </c>
      <c r="I21" s="7">
        <v>300000</v>
      </c>
      <c r="J21" s="14">
        <v>19857</v>
      </c>
      <c r="K21" s="15">
        <f>L21+30164+39608+36320+8901+45027+47694+40014+19857</f>
        <v>267585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0.31060606060606061</v>
      </c>
      <c r="AF21" s="81">
        <f t="shared" si="8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0.31060606060606061</v>
      </c>
      <c r="AF22" s="81">
        <f t="shared" si="8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0.31060606060606061</v>
      </c>
      <c r="AF23" s="81">
        <f t="shared" si="8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0.31060606060606061</v>
      </c>
      <c r="AF24" s="81">
        <f t="shared" si="8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0.31060606060606061</v>
      </c>
      <c r="AF25" s="81">
        <f t="shared" si="8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0.31060606060606061</v>
      </c>
      <c r="AF26" s="81">
        <f t="shared" si="8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0.31060606060606061</v>
      </c>
      <c r="AF27" s="81">
        <f t="shared" si="8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1717300</v>
      </c>
      <c r="J28" s="19">
        <f t="shared" si="10"/>
        <v>254110</v>
      </c>
      <c r="K28" s="20">
        <f t="shared" si="10"/>
        <v>1666125</v>
      </c>
      <c r="L28" s="21">
        <f t="shared" si="10"/>
        <v>82790</v>
      </c>
      <c r="M28" s="20">
        <f t="shared" si="10"/>
        <v>82790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164</v>
      </c>
      <c r="Q28" s="43">
        <f t="shared" si="11"/>
        <v>352</v>
      </c>
      <c r="R28" s="23">
        <f t="shared" si="11"/>
        <v>24</v>
      </c>
      <c r="S28" s="24">
        <f t="shared" si="11"/>
        <v>71</v>
      </c>
      <c r="T28" s="24">
        <f t="shared" si="11"/>
        <v>0</v>
      </c>
      <c r="U28" s="24">
        <f t="shared" si="11"/>
        <v>0</v>
      </c>
      <c r="V28" s="25">
        <f t="shared" si="11"/>
        <v>12</v>
      </c>
      <c r="W28" s="26">
        <f t="shared" si="11"/>
        <v>245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0.4</v>
      </c>
      <c r="AC28" s="4">
        <f>AVERAGE(AC6:AC27)</f>
        <v>0.31060606060606061</v>
      </c>
      <c r="AD28" s="4">
        <f>AVERAGE(AD6:AD27)</f>
        <v>0.31060606060606061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383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386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193" t="s">
        <v>46</v>
      </c>
      <c r="D57" s="193" t="s">
        <v>47</v>
      </c>
      <c r="E57" s="193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193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370</v>
      </c>
      <c r="B58" s="411"/>
      <c r="C58" s="189" t="s">
        <v>152</v>
      </c>
      <c r="D58" s="189"/>
      <c r="E58" s="189" t="s">
        <v>384</v>
      </c>
      <c r="F58" s="412" t="s">
        <v>122</v>
      </c>
      <c r="G58" s="413"/>
      <c r="H58" s="413"/>
      <c r="I58" s="413"/>
      <c r="J58" s="413"/>
      <c r="K58" s="413"/>
      <c r="L58" s="413"/>
      <c r="M58" s="414"/>
      <c r="N58" s="197" t="s">
        <v>112</v>
      </c>
      <c r="O58" s="204" t="s">
        <v>200</v>
      </c>
      <c r="P58" s="415" t="s">
        <v>121</v>
      </c>
      <c r="Q58" s="416"/>
      <c r="R58" s="415" t="s">
        <v>300</v>
      </c>
      <c r="S58" s="417"/>
      <c r="T58" s="417"/>
      <c r="U58" s="416"/>
      <c r="V58" s="412" t="s">
        <v>220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112</v>
      </c>
      <c r="B59" s="411"/>
      <c r="C59" s="189" t="s">
        <v>151</v>
      </c>
      <c r="D59" s="189" t="s">
        <v>115</v>
      </c>
      <c r="E59" s="189" t="s">
        <v>289</v>
      </c>
      <c r="F59" s="412" t="s">
        <v>385</v>
      </c>
      <c r="G59" s="413"/>
      <c r="H59" s="413"/>
      <c r="I59" s="413"/>
      <c r="J59" s="413"/>
      <c r="K59" s="413"/>
      <c r="L59" s="413"/>
      <c r="M59" s="414"/>
      <c r="N59" s="192" t="s">
        <v>112</v>
      </c>
      <c r="O59" s="186" t="s">
        <v>151</v>
      </c>
      <c r="P59" s="415" t="s">
        <v>115</v>
      </c>
      <c r="Q59" s="416"/>
      <c r="R59" s="415" t="s">
        <v>289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189" t="s">
        <v>200</v>
      </c>
      <c r="D60" s="189" t="s">
        <v>121</v>
      </c>
      <c r="E60" s="189" t="s">
        <v>300</v>
      </c>
      <c r="F60" s="412" t="s">
        <v>307</v>
      </c>
      <c r="G60" s="413"/>
      <c r="H60" s="413"/>
      <c r="I60" s="413"/>
      <c r="J60" s="413"/>
      <c r="K60" s="413"/>
      <c r="L60" s="413"/>
      <c r="M60" s="414"/>
      <c r="N60" s="192" t="s">
        <v>116</v>
      </c>
      <c r="O60" s="186" t="s">
        <v>296</v>
      </c>
      <c r="P60" s="415" t="s">
        <v>146</v>
      </c>
      <c r="Q60" s="416"/>
      <c r="R60" s="415" t="s">
        <v>390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387</v>
      </c>
      <c r="B61" s="411"/>
      <c r="C61" s="189" t="s">
        <v>388</v>
      </c>
      <c r="D61" s="189" t="s">
        <v>115</v>
      </c>
      <c r="E61" s="189" t="s">
        <v>382</v>
      </c>
      <c r="F61" s="412" t="s">
        <v>389</v>
      </c>
      <c r="G61" s="413"/>
      <c r="H61" s="413"/>
      <c r="I61" s="413"/>
      <c r="J61" s="413"/>
      <c r="K61" s="413"/>
      <c r="L61" s="413"/>
      <c r="M61" s="414"/>
      <c r="N61" s="192" t="s">
        <v>387</v>
      </c>
      <c r="O61" s="186" t="s">
        <v>388</v>
      </c>
      <c r="P61" s="415" t="s">
        <v>115</v>
      </c>
      <c r="Q61" s="416"/>
      <c r="R61" s="415" t="s">
        <v>382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/>
      <c r="B62" s="411"/>
      <c r="C62" s="189"/>
      <c r="D62" s="189"/>
      <c r="E62" s="189"/>
      <c r="F62" s="412"/>
      <c r="G62" s="413"/>
      <c r="H62" s="413"/>
      <c r="I62" s="413"/>
      <c r="J62" s="413"/>
      <c r="K62" s="413"/>
      <c r="L62" s="413"/>
      <c r="M62" s="414"/>
      <c r="N62" s="192"/>
      <c r="O62" s="186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/>
      <c r="B63" s="411"/>
      <c r="C63" s="189"/>
      <c r="D63" s="189"/>
      <c r="E63" s="189"/>
      <c r="F63" s="412"/>
      <c r="G63" s="413"/>
      <c r="H63" s="413"/>
      <c r="I63" s="413"/>
      <c r="J63" s="413"/>
      <c r="K63" s="413"/>
      <c r="L63" s="413"/>
      <c r="M63" s="414"/>
      <c r="N63" s="192"/>
      <c r="O63" s="186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189"/>
      <c r="D64" s="189"/>
      <c r="E64" s="189"/>
      <c r="F64" s="412"/>
      <c r="G64" s="413"/>
      <c r="H64" s="413"/>
      <c r="I64" s="413"/>
      <c r="J64" s="413"/>
      <c r="K64" s="413"/>
      <c r="L64" s="413"/>
      <c r="M64" s="414"/>
      <c r="N64" s="192"/>
      <c r="O64" s="186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188"/>
      <c r="D65" s="188"/>
      <c r="E65" s="189"/>
      <c r="F65" s="412"/>
      <c r="G65" s="413"/>
      <c r="H65" s="413"/>
      <c r="I65" s="413"/>
      <c r="J65" s="413"/>
      <c r="K65" s="413"/>
      <c r="L65" s="413"/>
      <c r="M65" s="414"/>
      <c r="N65" s="192"/>
      <c r="O65" s="186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188"/>
      <c r="D66" s="188"/>
      <c r="E66" s="189"/>
      <c r="F66" s="412"/>
      <c r="G66" s="413"/>
      <c r="H66" s="413"/>
      <c r="I66" s="413"/>
      <c r="J66" s="413"/>
      <c r="K66" s="413"/>
      <c r="L66" s="413"/>
      <c r="M66" s="414"/>
      <c r="N66" s="192"/>
      <c r="O66" s="186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190"/>
      <c r="D67" s="191"/>
      <c r="E67" s="190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391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187" t="s">
        <v>2</v>
      </c>
      <c r="D69" s="187" t="s">
        <v>37</v>
      </c>
      <c r="E69" s="187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187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129</v>
      </c>
      <c r="D70" s="182"/>
      <c r="E70" s="185" t="s">
        <v>131</v>
      </c>
      <c r="F70" s="437" t="s">
        <v>392</v>
      </c>
      <c r="G70" s="438"/>
      <c r="H70" s="438"/>
      <c r="I70" s="438"/>
      <c r="J70" s="438"/>
      <c r="K70" s="438" t="s">
        <v>393</v>
      </c>
      <c r="L70" s="438"/>
      <c r="M70" s="51" t="s">
        <v>184</v>
      </c>
      <c r="N70" s="439" t="s">
        <v>296</v>
      </c>
      <c r="O70" s="439"/>
      <c r="P70" s="440">
        <v>200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112</v>
      </c>
      <c r="D71" s="182"/>
      <c r="E71" s="185" t="s">
        <v>374</v>
      </c>
      <c r="F71" s="443" t="s">
        <v>373</v>
      </c>
      <c r="G71" s="444"/>
      <c r="H71" s="444"/>
      <c r="I71" s="444"/>
      <c r="J71" s="445"/>
      <c r="K71" s="438" t="s">
        <v>144</v>
      </c>
      <c r="L71" s="438"/>
      <c r="M71" s="51" t="s">
        <v>210</v>
      </c>
      <c r="N71" s="439" t="s">
        <v>253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/>
      <c r="D72" s="182"/>
      <c r="E72" s="185"/>
      <c r="F72" s="437"/>
      <c r="G72" s="438"/>
      <c r="H72" s="438"/>
      <c r="I72" s="438"/>
      <c r="J72" s="438"/>
      <c r="K72" s="438"/>
      <c r="L72" s="438"/>
      <c r="M72" s="51"/>
      <c r="N72" s="439"/>
      <c r="O72" s="439"/>
      <c r="P72" s="440"/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/>
      <c r="D73" s="182"/>
      <c r="E73" s="185"/>
      <c r="F73" s="443"/>
      <c r="G73" s="444"/>
      <c r="H73" s="444"/>
      <c r="I73" s="444"/>
      <c r="J73" s="445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182"/>
      <c r="E74" s="185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182"/>
      <c r="E75" s="185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182"/>
      <c r="E76" s="185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182"/>
      <c r="E77" s="185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182"/>
      <c r="E78" s="185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182"/>
      <c r="E79" s="185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394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184" t="s">
        <v>2</v>
      </c>
      <c r="D81" s="184" t="s">
        <v>37</v>
      </c>
      <c r="E81" s="184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183"/>
      <c r="D82" s="183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182"/>
      <c r="D83" s="182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182"/>
      <c r="D84" s="182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182"/>
      <c r="D85" s="182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182"/>
      <c r="D86" s="182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182"/>
      <c r="D87" s="182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182"/>
      <c r="D88" s="182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395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E6FE-EFC7-4E47-BCE2-F273F661A961}">
  <sheetPr>
    <pageSetUpPr fitToPage="1"/>
  </sheetPr>
  <dimension ref="A1:AF94"/>
  <sheetViews>
    <sheetView view="pageBreakPreview" zoomScale="70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396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95" t="s">
        <v>17</v>
      </c>
      <c r="L5" s="195" t="s">
        <v>18</v>
      </c>
      <c r="M5" s="195" t="s">
        <v>19</v>
      </c>
      <c r="N5" s="19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L6+2794</f>
        <v>2794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 t="shared" ref="AD6:AD28" si="6">AC6*AB6*(1-O6)</f>
        <v>0</v>
      </c>
      <c r="AE6" s="36">
        <f t="shared" ref="AE6:AE28" si="7">$AD$29</f>
        <v>0.1992753623188406</v>
      </c>
      <c r="AF6" s="81">
        <f t="shared" ref="AF6:AF28" si="8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310</v>
      </c>
      <c r="E7" s="53" t="s">
        <v>309</v>
      </c>
      <c r="F7" s="30" t="s">
        <v>337</v>
      </c>
      <c r="G7" s="12">
        <v>2</v>
      </c>
      <c r="H7" s="13">
        <v>24</v>
      </c>
      <c r="I7" s="31">
        <v>28000</v>
      </c>
      <c r="J7" s="14">
        <v>2066</v>
      </c>
      <c r="K7" s="15">
        <f>L7+10610+11718+12418</f>
        <v>36812</v>
      </c>
      <c r="L7" s="15">
        <f>1033*2</f>
        <v>2066</v>
      </c>
      <c r="M7" s="15">
        <f t="shared" si="0"/>
        <v>2066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>
        <v>18</v>
      </c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0.1992753623188406</v>
      </c>
      <c r="AF7" s="81">
        <f t="shared" si="8"/>
        <v>2</v>
      </c>
    </row>
    <row r="8" spans="1:32" ht="27" customHeight="1">
      <c r="A8" s="107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24</v>
      </c>
      <c r="I8" s="7">
        <v>17000</v>
      </c>
      <c r="J8" s="14">
        <v>1990</v>
      </c>
      <c r="K8" s="15">
        <f>L8+1990</f>
        <v>1990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0.1992753623188406</v>
      </c>
      <c r="AF8" s="81">
        <f t="shared" si="8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5116</v>
      </c>
      <c r="K9" s="15">
        <f>L9+673+1147+3717+4333+5116</f>
        <v>14986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0.1992753623188406</v>
      </c>
      <c r="AF9" s="81">
        <f t="shared" si="8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121</v>
      </c>
      <c r="E10" s="53" t="s">
        <v>312</v>
      </c>
      <c r="F10" s="30" t="s">
        <v>130</v>
      </c>
      <c r="G10" s="33">
        <v>1</v>
      </c>
      <c r="H10" s="35">
        <v>24</v>
      </c>
      <c r="I10" s="7">
        <v>10000</v>
      </c>
      <c r="J10" s="14">
        <v>2582</v>
      </c>
      <c r="K10" s="15">
        <f>L10+3094+5773</f>
        <v>11449</v>
      </c>
      <c r="L10" s="15">
        <f>2582</f>
        <v>2582</v>
      </c>
      <c r="M10" s="15">
        <f t="shared" si="0"/>
        <v>2582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/>
      <c r="T10" s="16"/>
      <c r="U10" s="16"/>
      <c r="V10" s="17"/>
      <c r="W10" s="5">
        <v>14</v>
      </c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0.1992753623188406</v>
      </c>
      <c r="AF10" s="81">
        <f t="shared" si="8"/>
        <v>5</v>
      </c>
    </row>
    <row r="11" spans="1:32" ht="27" customHeight="1">
      <c r="A11" s="93">
        <v>5</v>
      </c>
      <c r="B11" s="11" t="s">
        <v>57</v>
      </c>
      <c r="C11" s="11" t="s">
        <v>112</v>
      </c>
      <c r="D11" s="52" t="s">
        <v>121</v>
      </c>
      <c r="E11" s="53" t="s">
        <v>259</v>
      </c>
      <c r="F11" s="30" t="s">
        <v>130</v>
      </c>
      <c r="G11" s="33">
        <v>2</v>
      </c>
      <c r="H11" s="35">
        <v>24</v>
      </c>
      <c r="I11" s="7">
        <v>2000</v>
      </c>
      <c r="J11" s="14">
        <v>6510</v>
      </c>
      <c r="K11" s="15">
        <f>L11</f>
        <v>6510</v>
      </c>
      <c r="L11" s="15">
        <f>3255*2</f>
        <v>6510</v>
      </c>
      <c r="M11" s="15">
        <f t="shared" ref="M11" si="9">L11-N11</f>
        <v>6510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12</v>
      </c>
      <c r="Q11" s="40">
        <f t="shared" ref="Q11" si="12">SUM(R11:AA11)</f>
        <v>12</v>
      </c>
      <c r="R11" s="7"/>
      <c r="S11" s="6"/>
      <c r="T11" s="16">
        <v>12</v>
      </c>
      <c r="U11" s="16"/>
      <c r="V11" s="17"/>
      <c r="W11" s="5"/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0.5</v>
      </c>
      <c r="AD11" s="10">
        <f t="shared" ref="AD11" si="15">AC11*AB11*(1-O11)</f>
        <v>0.5</v>
      </c>
      <c r="AE11" s="36">
        <f t="shared" si="7"/>
        <v>0.1992753623188406</v>
      </c>
      <c r="AF11" s="81">
        <f t="shared" ref="AF11" si="16">A11</f>
        <v>5</v>
      </c>
    </row>
    <row r="12" spans="1:32" ht="27" customHeight="1">
      <c r="A12" s="93">
        <v>6</v>
      </c>
      <c r="B12" s="11" t="s">
        <v>57</v>
      </c>
      <c r="C12" s="11" t="s">
        <v>112</v>
      </c>
      <c r="D12" s="52" t="s">
        <v>353</v>
      </c>
      <c r="E12" s="53" t="s">
        <v>352</v>
      </c>
      <c r="F12" s="30" t="s">
        <v>366</v>
      </c>
      <c r="G12" s="33">
        <v>2</v>
      </c>
      <c r="H12" s="35">
        <v>24</v>
      </c>
      <c r="I12" s="7">
        <v>3000</v>
      </c>
      <c r="J12" s="14">
        <v>3576</v>
      </c>
      <c r="K12" s="15">
        <f>L12+3576</f>
        <v>3576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0.1992753623188406</v>
      </c>
      <c r="AF12" s="81">
        <f t="shared" si="8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f>70000+110000</f>
        <v>180000</v>
      </c>
      <c r="J13" s="5">
        <v>5309</v>
      </c>
      <c r="K13" s="15">
        <f>L13+5056+5299+5142+4725+5285+5308+3502+5153+5075+5268+5338+5267+5184+5110+5267</f>
        <v>81288</v>
      </c>
      <c r="L13" s="15">
        <f>2670+2639</f>
        <v>5309</v>
      </c>
      <c r="M13" s="15">
        <f t="shared" si="0"/>
        <v>5309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0.1992753623188406</v>
      </c>
      <c r="AF13" s="81">
        <f t="shared" si="8"/>
        <v>7</v>
      </c>
    </row>
    <row r="14" spans="1:32" ht="27" customHeight="1">
      <c r="A14" s="93">
        <v>8</v>
      </c>
      <c r="B14" s="11" t="s">
        <v>57</v>
      </c>
      <c r="C14" s="11" t="s">
        <v>112</v>
      </c>
      <c r="D14" s="52" t="s">
        <v>154</v>
      </c>
      <c r="E14" s="53" t="s">
        <v>203</v>
      </c>
      <c r="F14" s="30" t="s">
        <v>123</v>
      </c>
      <c r="G14" s="33">
        <v>4</v>
      </c>
      <c r="H14" s="35">
        <v>22</v>
      </c>
      <c r="I14" s="7">
        <v>100000</v>
      </c>
      <c r="J14" s="14">
        <v>24942</v>
      </c>
      <c r="K14" s="15">
        <f>L14+15812+27532+25338+16995+13672+26388</f>
        <v>150679</v>
      </c>
      <c r="L14" s="15">
        <f>3318*4+1490*3+1800*4</f>
        <v>24942</v>
      </c>
      <c r="M14" s="15">
        <f t="shared" si="0"/>
        <v>24942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0.1992753623188406</v>
      </c>
      <c r="AF14" s="81">
        <f t="shared" si="8"/>
        <v>8</v>
      </c>
    </row>
    <row r="15" spans="1:32" ht="27" customHeight="1">
      <c r="A15" s="100">
        <v>9</v>
      </c>
      <c r="B15" s="11" t="s">
        <v>57</v>
      </c>
      <c r="C15" s="34" t="s">
        <v>173</v>
      </c>
      <c r="D15" s="52" t="s">
        <v>115</v>
      </c>
      <c r="E15" s="53" t="s">
        <v>382</v>
      </c>
      <c r="F15" s="30" t="s">
        <v>141</v>
      </c>
      <c r="G15" s="33">
        <v>1</v>
      </c>
      <c r="H15" s="35">
        <v>50</v>
      </c>
      <c r="I15" s="7">
        <v>100</v>
      </c>
      <c r="J15" s="5">
        <v>1166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0.1992753623188406</v>
      </c>
      <c r="AF15" s="81">
        <f t="shared" si="8"/>
        <v>9</v>
      </c>
    </row>
    <row r="16" spans="1:32" ht="27" customHeight="1">
      <c r="A16" s="107">
        <v>10</v>
      </c>
      <c r="B16" s="11" t="s">
        <v>57</v>
      </c>
      <c r="C16" s="34" t="s">
        <v>116</v>
      </c>
      <c r="D16" s="52" t="s">
        <v>121</v>
      </c>
      <c r="E16" s="53" t="s">
        <v>127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0.1992753623188406</v>
      </c>
      <c r="AF16" s="81">
        <f t="shared" si="8"/>
        <v>10</v>
      </c>
    </row>
    <row r="17" spans="1:32" ht="27" customHeight="1">
      <c r="A17" s="107">
        <v>11</v>
      </c>
      <c r="B17" s="11" t="s">
        <v>57</v>
      </c>
      <c r="C17" s="34" t="s">
        <v>112</v>
      </c>
      <c r="D17" s="52" t="s">
        <v>121</v>
      </c>
      <c r="E17" s="53" t="s">
        <v>300</v>
      </c>
      <c r="F17" s="30" t="s">
        <v>130</v>
      </c>
      <c r="G17" s="12">
        <v>2</v>
      </c>
      <c r="H17" s="13">
        <v>24</v>
      </c>
      <c r="I17" s="7">
        <v>27000</v>
      </c>
      <c r="J17" s="14">
        <v>2748</v>
      </c>
      <c r="K17" s="15">
        <f>L17+7530+9504+2748</f>
        <v>19782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0.1992753623188406</v>
      </c>
      <c r="AF17" s="81">
        <f t="shared" si="8"/>
        <v>11</v>
      </c>
    </row>
    <row r="18" spans="1:32" ht="27" customHeight="1">
      <c r="A18" s="107">
        <v>12</v>
      </c>
      <c r="B18" s="11" t="s">
        <v>57</v>
      </c>
      <c r="C18" s="34" t="s">
        <v>116</v>
      </c>
      <c r="D18" s="52" t="s">
        <v>146</v>
      </c>
      <c r="E18" s="53" t="s">
        <v>397</v>
      </c>
      <c r="F18" s="30" t="s">
        <v>278</v>
      </c>
      <c r="G18" s="12">
        <v>1</v>
      </c>
      <c r="H18" s="13">
        <v>24</v>
      </c>
      <c r="I18" s="7">
        <v>6000</v>
      </c>
      <c r="J18" s="14">
        <v>5785</v>
      </c>
      <c r="K18" s="15">
        <f>L18</f>
        <v>5785</v>
      </c>
      <c r="L18" s="15">
        <f>2683+3102</f>
        <v>5785</v>
      </c>
      <c r="M18" s="15">
        <f t="shared" si="0"/>
        <v>5785</v>
      </c>
      <c r="N18" s="15">
        <v>0</v>
      </c>
      <c r="O18" s="58">
        <f t="shared" si="1"/>
        <v>0</v>
      </c>
      <c r="P18" s="39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1</v>
      </c>
      <c r="AC18" s="9" t="str">
        <f t="shared" si="5"/>
        <v>0</v>
      </c>
      <c r="AD18" s="10">
        <f t="shared" si="6"/>
        <v>0</v>
      </c>
      <c r="AE18" s="36">
        <f t="shared" si="7"/>
        <v>0.1992753623188406</v>
      </c>
      <c r="AF18" s="81">
        <f t="shared" si="8"/>
        <v>12</v>
      </c>
    </row>
    <row r="19" spans="1:32" ht="27" customHeight="1">
      <c r="A19" s="93">
        <v>13</v>
      </c>
      <c r="B19" s="11" t="s">
        <v>57</v>
      </c>
      <c r="C19" s="34" t="s">
        <v>112</v>
      </c>
      <c r="D19" s="52" t="s">
        <v>115</v>
      </c>
      <c r="E19" s="53" t="s">
        <v>171</v>
      </c>
      <c r="F19" s="30" t="s">
        <v>144</v>
      </c>
      <c r="G19" s="12">
        <v>2</v>
      </c>
      <c r="H19" s="13">
        <v>22</v>
      </c>
      <c r="I19" s="31">
        <v>30000</v>
      </c>
      <c r="J19" s="5">
        <v>11326</v>
      </c>
      <c r="K19" s="15">
        <f>L19+9826+11714+9940+10864+11326</f>
        <v>53670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0.1992753623188406</v>
      </c>
      <c r="AF19" s="81">
        <f t="shared" si="8"/>
        <v>13</v>
      </c>
    </row>
    <row r="20" spans="1:32" ht="27" customHeight="1">
      <c r="A20" s="93">
        <v>14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3</v>
      </c>
      <c r="H20" s="35">
        <v>24</v>
      </c>
      <c r="I20" s="7">
        <v>360000</v>
      </c>
      <c r="J20" s="14">
        <v>17040</v>
      </c>
      <c r="K20" s="15">
        <f>L20+16424+3460+8466+14048+14809+10420+6468+20028+25064+24256+18744+23224+19112+21656+19860+24856+20332+13908+23312+22632+21852+23044</f>
        <v>413015</v>
      </c>
      <c r="L20" s="15">
        <f>2897*3+2783*3</f>
        <v>17040</v>
      </c>
      <c r="M20" s="15">
        <f t="shared" si="0"/>
        <v>17040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0.1992753623188406</v>
      </c>
      <c r="AF20" s="81">
        <f t="shared" si="8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128</v>
      </c>
      <c r="E21" s="53" t="s">
        <v>158</v>
      </c>
      <c r="F21" s="30" t="s">
        <v>124</v>
      </c>
      <c r="G21" s="33">
        <v>4</v>
      </c>
      <c r="H21" s="35">
        <v>24</v>
      </c>
      <c r="I21" s="7">
        <v>360000</v>
      </c>
      <c r="J21" s="14">
        <v>20332</v>
      </c>
      <c r="K21" s="15">
        <f>L21+16424+3460+8466+14048+14809+10420+6468+20028+25064+24256+18744+23224+19112+21656+19860+24856+20332</f>
        <v>291227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>
        <v>24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0.1992753623188406</v>
      </c>
      <c r="AF21" s="81">
        <f t="shared" si="8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159</v>
      </c>
      <c r="F22" s="12" t="s">
        <v>114</v>
      </c>
      <c r="G22" s="12">
        <v>3</v>
      </c>
      <c r="H22" s="35">
        <v>20</v>
      </c>
      <c r="I22" s="7">
        <v>300000</v>
      </c>
      <c r="J22" s="14">
        <v>14847</v>
      </c>
      <c r="K22" s="15">
        <f>L22+30164+39608+36320+8901+45027+47694+40014+19857</f>
        <v>282432</v>
      </c>
      <c r="L22" s="15">
        <f>4949*3</f>
        <v>14847</v>
      </c>
      <c r="M22" s="15">
        <f t="shared" si="0"/>
        <v>14847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6"/>
        <v>0.41666666666666669</v>
      </c>
      <c r="AE22" s="36">
        <f t="shared" si="7"/>
        <v>0.1992753623188406</v>
      </c>
      <c r="AF22" s="81">
        <f t="shared" si="8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0.1992753623188406</v>
      </c>
      <c r="AF23" s="81">
        <f t="shared" si="8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0.1992753623188406</v>
      </c>
      <c r="AF24" s="81">
        <f t="shared" si="8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0.1992753623188406</v>
      </c>
      <c r="AF25" s="81">
        <f t="shared" si="8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0.1992753623188406</v>
      </c>
      <c r="AF26" s="81">
        <f t="shared" si="8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0.1992753623188406</v>
      </c>
      <c r="AF27" s="81">
        <f t="shared" si="8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 t="shared" si="7"/>
        <v>0.1992753623188406</v>
      </c>
      <c r="AF28" s="81">
        <f t="shared" si="8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8">SUM(I6:I28)</f>
        <v>1723300</v>
      </c>
      <c r="J29" s="19">
        <f t="shared" si="18"/>
        <v>236233</v>
      </c>
      <c r="K29" s="20">
        <f t="shared" si="18"/>
        <v>1740995</v>
      </c>
      <c r="L29" s="21">
        <f t="shared" si="18"/>
        <v>79081</v>
      </c>
      <c r="M29" s="20">
        <f t="shared" si="18"/>
        <v>79081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110</v>
      </c>
      <c r="Q29" s="43">
        <f t="shared" si="19"/>
        <v>442</v>
      </c>
      <c r="R29" s="23">
        <f t="shared" si="19"/>
        <v>24</v>
      </c>
      <c r="S29" s="24">
        <f t="shared" si="19"/>
        <v>72</v>
      </c>
      <c r="T29" s="24">
        <f t="shared" si="19"/>
        <v>12</v>
      </c>
      <c r="U29" s="24">
        <f t="shared" si="19"/>
        <v>0</v>
      </c>
      <c r="V29" s="25">
        <f t="shared" si="19"/>
        <v>14</v>
      </c>
      <c r="W29" s="26">
        <f t="shared" si="19"/>
        <v>320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0</v>
      </c>
      <c r="AB29" s="28">
        <f>AVERAGE(AB6:AB28)</f>
        <v>0.38095238095238093</v>
      </c>
      <c r="AC29" s="4">
        <f>AVERAGE(AC6:AC28)</f>
        <v>0.20833333333333337</v>
      </c>
      <c r="AD29" s="4">
        <f>AVERAGE(AD6:AD28)</f>
        <v>0.1992753623188406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398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411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196" t="s">
        <v>46</v>
      </c>
      <c r="D58" s="196" t="s">
        <v>47</v>
      </c>
      <c r="E58" s="196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196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215" t="s">
        <v>151</v>
      </c>
      <c r="D59" s="215" t="s">
        <v>115</v>
      </c>
      <c r="E59" s="215" t="s">
        <v>289</v>
      </c>
      <c r="F59" s="412" t="s">
        <v>399</v>
      </c>
      <c r="G59" s="413"/>
      <c r="H59" s="413"/>
      <c r="I59" s="413"/>
      <c r="J59" s="413"/>
      <c r="K59" s="413"/>
      <c r="L59" s="413"/>
      <c r="M59" s="414"/>
      <c r="N59" s="197" t="s">
        <v>112</v>
      </c>
      <c r="O59" s="204" t="s">
        <v>200</v>
      </c>
      <c r="P59" s="415" t="s">
        <v>121</v>
      </c>
      <c r="Q59" s="416"/>
      <c r="R59" s="415" t="s">
        <v>300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215" t="s">
        <v>200</v>
      </c>
      <c r="D60" s="215" t="s">
        <v>121</v>
      </c>
      <c r="E60" s="215" t="s">
        <v>300</v>
      </c>
      <c r="F60" s="412" t="s">
        <v>400</v>
      </c>
      <c r="G60" s="413"/>
      <c r="H60" s="413"/>
      <c r="I60" s="413"/>
      <c r="J60" s="413"/>
      <c r="K60" s="413"/>
      <c r="L60" s="413"/>
      <c r="M60" s="414"/>
      <c r="N60" s="197" t="s">
        <v>112</v>
      </c>
      <c r="O60" s="204" t="s">
        <v>151</v>
      </c>
      <c r="P60" s="415" t="s">
        <v>115</v>
      </c>
      <c r="Q60" s="416"/>
      <c r="R60" s="415" t="s">
        <v>289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173</v>
      </c>
      <c r="B61" s="411"/>
      <c r="C61" s="215" t="s">
        <v>150</v>
      </c>
      <c r="D61" s="215" t="s">
        <v>115</v>
      </c>
      <c r="E61" s="215" t="s">
        <v>382</v>
      </c>
      <c r="F61" s="412" t="s">
        <v>401</v>
      </c>
      <c r="G61" s="413"/>
      <c r="H61" s="413"/>
      <c r="I61" s="413"/>
      <c r="J61" s="413"/>
      <c r="K61" s="413"/>
      <c r="L61" s="413"/>
      <c r="M61" s="414"/>
      <c r="N61" s="218" t="s">
        <v>173</v>
      </c>
      <c r="O61" s="212" t="s">
        <v>150</v>
      </c>
      <c r="P61" s="415" t="s">
        <v>115</v>
      </c>
      <c r="Q61" s="416"/>
      <c r="R61" s="415" t="s">
        <v>382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198" t="s">
        <v>402</v>
      </c>
      <c r="D62" s="198" t="s">
        <v>121</v>
      </c>
      <c r="E62" s="198" t="s">
        <v>403</v>
      </c>
      <c r="F62" s="412" t="s">
        <v>404</v>
      </c>
      <c r="G62" s="413"/>
      <c r="H62" s="413"/>
      <c r="I62" s="413"/>
      <c r="J62" s="413"/>
      <c r="K62" s="413"/>
      <c r="L62" s="413"/>
      <c r="M62" s="414"/>
      <c r="N62" s="197" t="s">
        <v>413</v>
      </c>
      <c r="O62" s="204" t="s">
        <v>414</v>
      </c>
      <c r="P62" s="415" t="s">
        <v>415</v>
      </c>
      <c r="Q62" s="416"/>
      <c r="R62" s="415" t="s">
        <v>412</v>
      </c>
      <c r="S62" s="417"/>
      <c r="T62" s="417"/>
      <c r="U62" s="416"/>
      <c r="V62" s="412" t="s">
        <v>404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405</v>
      </c>
      <c r="B63" s="411"/>
      <c r="C63" s="198" t="s">
        <v>406</v>
      </c>
      <c r="D63" s="198" t="s">
        <v>146</v>
      </c>
      <c r="E63" s="198" t="s">
        <v>397</v>
      </c>
      <c r="F63" s="412" t="s">
        <v>404</v>
      </c>
      <c r="G63" s="413"/>
      <c r="H63" s="413"/>
      <c r="I63" s="413"/>
      <c r="J63" s="413"/>
      <c r="K63" s="413"/>
      <c r="L63" s="413"/>
      <c r="M63" s="414"/>
      <c r="N63" s="197" t="s">
        <v>413</v>
      </c>
      <c r="O63" s="204" t="s">
        <v>417</v>
      </c>
      <c r="P63" s="415" t="s">
        <v>418</v>
      </c>
      <c r="Q63" s="416"/>
      <c r="R63" s="415" t="s">
        <v>416</v>
      </c>
      <c r="S63" s="417"/>
      <c r="T63" s="417"/>
      <c r="U63" s="416"/>
      <c r="V63" s="412" t="s">
        <v>404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198" t="s">
        <v>407</v>
      </c>
      <c r="D64" s="198" t="s">
        <v>408</v>
      </c>
      <c r="E64" s="198" t="s">
        <v>409</v>
      </c>
      <c r="F64" s="412" t="s">
        <v>410</v>
      </c>
      <c r="G64" s="413"/>
      <c r="H64" s="413"/>
      <c r="I64" s="413"/>
      <c r="J64" s="413"/>
      <c r="K64" s="413"/>
      <c r="L64" s="413"/>
      <c r="M64" s="414"/>
      <c r="N64" s="197"/>
      <c r="O64" s="204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/>
      <c r="B65" s="411"/>
      <c r="C65" s="198"/>
      <c r="D65" s="198"/>
      <c r="E65" s="198"/>
      <c r="F65" s="412"/>
      <c r="G65" s="413"/>
      <c r="H65" s="413"/>
      <c r="I65" s="413"/>
      <c r="J65" s="413"/>
      <c r="K65" s="413"/>
      <c r="L65" s="413"/>
      <c r="M65" s="414"/>
      <c r="N65" s="197"/>
      <c r="O65" s="204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01"/>
      <c r="D66" s="201"/>
      <c r="E66" s="198"/>
      <c r="F66" s="412"/>
      <c r="G66" s="413"/>
      <c r="H66" s="413"/>
      <c r="I66" s="413"/>
      <c r="J66" s="413"/>
      <c r="K66" s="413"/>
      <c r="L66" s="413"/>
      <c r="M66" s="414"/>
      <c r="N66" s="197"/>
      <c r="O66" s="204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201"/>
      <c r="D67" s="201"/>
      <c r="E67" s="198"/>
      <c r="F67" s="412"/>
      <c r="G67" s="413"/>
      <c r="H67" s="413"/>
      <c r="I67" s="413"/>
      <c r="J67" s="413"/>
      <c r="K67" s="413"/>
      <c r="L67" s="413"/>
      <c r="M67" s="414"/>
      <c r="N67" s="197"/>
      <c r="O67" s="204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199"/>
      <c r="D68" s="200"/>
      <c r="E68" s="199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419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202" t="s">
        <v>2</v>
      </c>
      <c r="D70" s="202" t="s">
        <v>37</v>
      </c>
      <c r="E70" s="202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202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112</v>
      </c>
      <c r="D71" s="208"/>
      <c r="E71" s="211" t="s">
        <v>157</v>
      </c>
      <c r="F71" s="437" t="s">
        <v>376</v>
      </c>
      <c r="G71" s="438"/>
      <c r="H71" s="438"/>
      <c r="I71" s="438"/>
      <c r="J71" s="438"/>
      <c r="K71" s="438" t="s">
        <v>377</v>
      </c>
      <c r="L71" s="438"/>
      <c r="M71" s="51" t="s">
        <v>210</v>
      </c>
      <c r="N71" s="439" t="s">
        <v>253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/>
      <c r="D72" s="206"/>
      <c r="E72" s="211"/>
      <c r="F72" s="437"/>
      <c r="G72" s="438"/>
      <c r="H72" s="438"/>
      <c r="I72" s="438"/>
      <c r="J72" s="438"/>
      <c r="K72" s="438"/>
      <c r="L72" s="438"/>
      <c r="M72" s="51"/>
      <c r="N72" s="439"/>
      <c r="O72" s="439"/>
      <c r="P72" s="440"/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/>
      <c r="D73" s="206"/>
      <c r="E73" s="203"/>
      <c r="F73" s="437"/>
      <c r="G73" s="438"/>
      <c r="H73" s="438"/>
      <c r="I73" s="438"/>
      <c r="J73" s="438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/>
      <c r="D74" s="206"/>
      <c r="E74" s="203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206"/>
      <c r="E75" s="203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206"/>
      <c r="E76" s="203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206"/>
      <c r="E77" s="203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206"/>
      <c r="E78" s="203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206"/>
      <c r="E79" s="203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206"/>
      <c r="E80" s="203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420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205" t="s">
        <v>2</v>
      </c>
      <c r="D82" s="205" t="s">
        <v>37</v>
      </c>
      <c r="E82" s="205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207"/>
      <c r="D83" s="207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206"/>
      <c r="D84" s="206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20">A84+1</f>
        <v>3</v>
      </c>
      <c r="B85" s="455"/>
      <c r="C85" s="206"/>
      <c r="D85" s="206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0"/>
        <v>4</v>
      </c>
      <c r="B86" s="455"/>
      <c r="C86" s="206"/>
      <c r="D86" s="206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5</v>
      </c>
      <c r="B87" s="455"/>
      <c r="C87" s="206"/>
      <c r="D87" s="206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6</v>
      </c>
      <c r="B88" s="455"/>
      <c r="C88" s="206"/>
      <c r="D88" s="206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7</v>
      </c>
      <c r="B89" s="455"/>
      <c r="C89" s="206"/>
      <c r="D89" s="206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421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62FC-A2ED-41B9-A8B5-CE858C8B5D18}">
  <sheetPr>
    <pageSetUpPr fitToPage="1"/>
  </sheetPr>
  <dimension ref="A1:AF94"/>
  <sheetViews>
    <sheetView view="pageBreakPreview" topLeftCell="A25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422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20" t="s">
        <v>17</v>
      </c>
      <c r="L5" s="220" t="s">
        <v>18</v>
      </c>
      <c r="M5" s="220" t="s">
        <v>19</v>
      </c>
      <c r="N5" s="2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L6+2794</f>
        <v>2794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>AC6*AB6*(1-O6)</f>
        <v>0</v>
      </c>
      <c r="AE6" s="36">
        <f t="shared" ref="AE6:AE28" si="6">$AD$29</f>
        <v>0.1992753623188406</v>
      </c>
      <c r="AF6" s="81">
        <f t="shared" ref="AF6:AF28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350</v>
      </c>
      <c r="E7" s="53" t="s">
        <v>351</v>
      </c>
      <c r="F7" s="30" t="s">
        <v>145</v>
      </c>
      <c r="G7" s="12">
        <v>1</v>
      </c>
      <c r="H7" s="13">
        <v>24</v>
      </c>
      <c r="I7" s="31">
        <v>6000</v>
      </c>
      <c r="J7" s="14">
        <v>2878</v>
      </c>
      <c r="K7" s="15">
        <f>L7</f>
        <v>2878</v>
      </c>
      <c r="L7" s="15">
        <f>1150+1728</f>
        <v>2878</v>
      </c>
      <c r="M7" s="15">
        <f t="shared" si="0"/>
        <v>2878</v>
      </c>
      <c r="N7" s="15">
        <v>0</v>
      </c>
      <c r="O7" s="58">
        <f t="shared" si="1"/>
        <v>0</v>
      </c>
      <c r="P7" s="39">
        <f t="shared" si="2"/>
        <v>12</v>
      </c>
      <c r="Q7" s="40">
        <f t="shared" si="3"/>
        <v>12</v>
      </c>
      <c r="R7" s="7"/>
      <c r="S7" s="6">
        <v>12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</v>
      </c>
      <c r="AD7" s="10">
        <f t="shared" ref="AD7:AD28" si="8">AC7*AB7*(1-O7)</f>
        <v>0.5</v>
      </c>
      <c r="AE7" s="36">
        <f t="shared" si="6"/>
        <v>0.1992753623188406</v>
      </c>
      <c r="AF7" s="81">
        <f t="shared" si="7"/>
        <v>2</v>
      </c>
    </row>
    <row r="8" spans="1:32" ht="27" customHeight="1">
      <c r="A8" s="107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24</v>
      </c>
      <c r="I8" s="7">
        <v>17000</v>
      </c>
      <c r="J8" s="14">
        <v>1990</v>
      </c>
      <c r="K8" s="15">
        <f>L8+1990</f>
        <v>1990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8"/>
        <v>0</v>
      </c>
      <c r="AE8" s="36">
        <f t="shared" si="6"/>
        <v>0.1992753623188406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116</v>
      </c>
      <c r="D9" s="52" t="s">
        <v>131</v>
      </c>
      <c r="E9" s="53" t="s">
        <v>229</v>
      </c>
      <c r="F9" s="30" t="s">
        <v>250</v>
      </c>
      <c r="G9" s="12">
        <v>1</v>
      </c>
      <c r="H9" s="13">
        <v>24</v>
      </c>
      <c r="I9" s="7">
        <v>6000</v>
      </c>
      <c r="J9" s="14">
        <v>5116</v>
      </c>
      <c r="K9" s="15">
        <f>L9+673+1147+3717+4333+5116</f>
        <v>14986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8"/>
        <v>0</v>
      </c>
      <c r="AE9" s="36">
        <f t="shared" si="6"/>
        <v>0.1992753623188406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116</v>
      </c>
      <c r="D10" s="52" t="s">
        <v>147</v>
      </c>
      <c r="E10" s="53" t="s">
        <v>423</v>
      </c>
      <c r="F10" s="30" t="s">
        <v>130</v>
      </c>
      <c r="G10" s="33">
        <v>2</v>
      </c>
      <c r="H10" s="35">
        <v>24</v>
      </c>
      <c r="I10" s="7">
        <v>2000</v>
      </c>
      <c r="J10" s="14">
        <v>5408</v>
      </c>
      <c r="K10" s="15">
        <f>L10</f>
        <v>5408</v>
      </c>
      <c r="L10" s="15">
        <f>1038*2+1666*2</f>
        <v>5408</v>
      </c>
      <c r="M10" s="15">
        <f t="shared" si="0"/>
        <v>5408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/>
      <c r="T10" s="16">
        <v>4</v>
      </c>
      <c r="U10" s="16"/>
      <c r="V10" s="17"/>
      <c r="W10" s="5">
        <v>6</v>
      </c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8"/>
        <v>0.58333333333333337</v>
      </c>
      <c r="AE10" s="36">
        <f t="shared" si="6"/>
        <v>0.1992753623188406</v>
      </c>
      <c r="AF10" s="81">
        <f t="shared" si="7"/>
        <v>5</v>
      </c>
    </row>
    <row r="11" spans="1:32" ht="27" customHeight="1">
      <c r="A11" s="93">
        <v>5</v>
      </c>
      <c r="B11" s="11" t="s">
        <v>57</v>
      </c>
      <c r="C11" s="11" t="s">
        <v>112</v>
      </c>
      <c r="D11" s="52" t="s">
        <v>121</v>
      </c>
      <c r="E11" s="53" t="s">
        <v>259</v>
      </c>
      <c r="F11" s="30" t="s">
        <v>130</v>
      </c>
      <c r="G11" s="33">
        <v>2</v>
      </c>
      <c r="H11" s="35">
        <v>24</v>
      </c>
      <c r="I11" s="7">
        <v>2000</v>
      </c>
      <c r="J11" s="14">
        <v>1000</v>
      </c>
      <c r="K11" s="15">
        <f>L11+6510</f>
        <v>7510</v>
      </c>
      <c r="L11" s="15">
        <f>500*2</f>
        <v>1000</v>
      </c>
      <c r="M11" s="15">
        <f t="shared" si="0"/>
        <v>1000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8"/>
        <v>0.125</v>
      </c>
      <c r="AE11" s="36">
        <f t="shared" si="6"/>
        <v>0.1992753623188406</v>
      </c>
      <c r="AF11" s="81">
        <f t="shared" si="7"/>
        <v>5</v>
      </c>
    </row>
    <row r="12" spans="1:32" ht="27" customHeight="1">
      <c r="A12" s="93">
        <v>6</v>
      </c>
      <c r="B12" s="11" t="s">
        <v>57</v>
      </c>
      <c r="C12" s="11" t="s">
        <v>112</v>
      </c>
      <c r="D12" s="52" t="s">
        <v>353</v>
      </c>
      <c r="E12" s="53" t="s">
        <v>352</v>
      </c>
      <c r="F12" s="30" t="s">
        <v>366</v>
      </c>
      <c r="G12" s="33">
        <v>2</v>
      </c>
      <c r="H12" s="35">
        <v>24</v>
      </c>
      <c r="I12" s="7">
        <v>3000</v>
      </c>
      <c r="J12" s="14">
        <v>3576</v>
      </c>
      <c r="K12" s="15">
        <f>L12+3576</f>
        <v>3576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8"/>
        <v>0</v>
      </c>
      <c r="AE12" s="36">
        <f t="shared" si="6"/>
        <v>0.1992753623188406</v>
      </c>
      <c r="AF12" s="81">
        <f t="shared" si="7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f>70000+110000</f>
        <v>180000</v>
      </c>
      <c r="J13" s="5">
        <v>13944</v>
      </c>
      <c r="K13" s="15">
        <f>L13+5056+5299+5142+4725+5285+5308+3502+5153+5075+5268+5338+5267+5184+5110+5267+5309</f>
        <v>95232</v>
      </c>
      <c r="L13" s="15">
        <f>3486*4</f>
        <v>13944</v>
      </c>
      <c r="M13" s="15">
        <f t="shared" si="0"/>
        <v>13944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0.1992753623188406</v>
      </c>
      <c r="AF13" s="81">
        <f t="shared" si="7"/>
        <v>7</v>
      </c>
    </row>
    <row r="14" spans="1:32" ht="27" customHeight="1">
      <c r="A14" s="93">
        <v>8</v>
      </c>
      <c r="B14" s="11" t="s">
        <v>57</v>
      </c>
      <c r="C14" s="11" t="s">
        <v>112</v>
      </c>
      <c r="D14" s="52" t="s">
        <v>154</v>
      </c>
      <c r="E14" s="53" t="s">
        <v>203</v>
      </c>
      <c r="F14" s="30" t="s">
        <v>123</v>
      </c>
      <c r="G14" s="33">
        <v>4</v>
      </c>
      <c r="H14" s="35">
        <v>22</v>
      </c>
      <c r="I14" s="7">
        <v>100000</v>
      </c>
      <c r="J14" s="14">
        <v>24942</v>
      </c>
      <c r="K14" s="15">
        <f>L14+15812+27532+25338+16995+13672+26388+24942</f>
        <v>150679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0.1992753623188406</v>
      </c>
      <c r="AF14" s="81">
        <f t="shared" si="7"/>
        <v>8</v>
      </c>
    </row>
    <row r="15" spans="1:32" ht="27" customHeight="1">
      <c r="A15" s="100">
        <v>9</v>
      </c>
      <c r="B15" s="11" t="s">
        <v>57</v>
      </c>
      <c r="C15" s="34" t="s">
        <v>173</v>
      </c>
      <c r="D15" s="52" t="s">
        <v>115</v>
      </c>
      <c r="E15" s="53" t="s">
        <v>382</v>
      </c>
      <c r="F15" s="30" t="s">
        <v>141</v>
      </c>
      <c r="G15" s="33">
        <v>1</v>
      </c>
      <c r="H15" s="35">
        <v>50</v>
      </c>
      <c r="I15" s="7">
        <v>100</v>
      </c>
      <c r="J15" s="5">
        <v>1166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0.1992753623188406</v>
      </c>
      <c r="AF15" s="81">
        <f t="shared" si="7"/>
        <v>9</v>
      </c>
    </row>
    <row r="16" spans="1:32" ht="27" customHeight="1">
      <c r="A16" s="107">
        <v>10</v>
      </c>
      <c r="B16" s="11" t="s">
        <v>57</v>
      </c>
      <c r="C16" s="34" t="s">
        <v>116</v>
      </c>
      <c r="D16" s="52" t="s">
        <v>121</v>
      </c>
      <c r="E16" s="53" t="s">
        <v>127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0.1992753623188406</v>
      </c>
      <c r="AF16" s="81">
        <f t="shared" si="7"/>
        <v>10</v>
      </c>
    </row>
    <row r="17" spans="1:32" ht="27" customHeight="1">
      <c r="A17" s="107">
        <v>11</v>
      </c>
      <c r="B17" s="11" t="s">
        <v>57</v>
      </c>
      <c r="C17" s="34" t="s">
        <v>112</v>
      </c>
      <c r="D17" s="52" t="s">
        <v>121</v>
      </c>
      <c r="E17" s="53" t="s">
        <v>300</v>
      </c>
      <c r="F17" s="30" t="s">
        <v>130</v>
      </c>
      <c r="G17" s="12">
        <v>2</v>
      </c>
      <c r="H17" s="13">
        <v>24</v>
      </c>
      <c r="I17" s="7">
        <v>27000</v>
      </c>
      <c r="J17" s="14">
        <v>6010</v>
      </c>
      <c r="K17" s="15">
        <f>L17+7530+9504+2748</f>
        <v>25792</v>
      </c>
      <c r="L17" s="15">
        <f>3638+2372</f>
        <v>6010</v>
      </c>
      <c r="M17" s="15">
        <f t="shared" si="0"/>
        <v>6010</v>
      </c>
      <c r="N17" s="15">
        <v>0</v>
      </c>
      <c r="O17" s="58">
        <f t="shared" si="1"/>
        <v>0</v>
      </c>
      <c r="P17" s="39">
        <f t="shared" si="2"/>
        <v>23</v>
      </c>
      <c r="Q17" s="40">
        <f t="shared" si="3"/>
        <v>1</v>
      </c>
      <c r="R17" s="7"/>
      <c r="S17" s="6">
        <v>1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0.95833333333333337</v>
      </c>
      <c r="AD17" s="10">
        <f t="shared" si="8"/>
        <v>0.95833333333333337</v>
      </c>
      <c r="AE17" s="36">
        <f t="shared" si="6"/>
        <v>0.1992753623188406</v>
      </c>
      <c r="AF17" s="81">
        <f t="shared" si="7"/>
        <v>11</v>
      </c>
    </row>
    <row r="18" spans="1:32" ht="27" customHeight="1">
      <c r="A18" s="107">
        <v>12</v>
      </c>
      <c r="B18" s="11" t="s">
        <v>57</v>
      </c>
      <c r="C18" s="34" t="s">
        <v>116</v>
      </c>
      <c r="D18" s="52" t="s">
        <v>146</v>
      </c>
      <c r="E18" s="53" t="s">
        <v>397</v>
      </c>
      <c r="F18" s="30" t="s">
        <v>278</v>
      </c>
      <c r="G18" s="12">
        <v>1</v>
      </c>
      <c r="H18" s="13">
        <v>24</v>
      </c>
      <c r="I18" s="7">
        <v>6000</v>
      </c>
      <c r="J18" s="14">
        <v>5395</v>
      </c>
      <c r="K18" s="15">
        <f>L18+5785</f>
        <v>11180</v>
      </c>
      <c r="L18" s="15">
        <f>2314+3081</f>
        <v>5395</v>
      </c>
      <c r="M18" s="15">
        <f t="shared" si="0"/>
        <v>5395</v>
      </c>
      <c r="N18" s="15">
        <v>0</v>
      </c>
      <c r="O18" s="58">
        <f t="shared" si="1"/>
        <v>0</v>
      </c>
      <c r="P18" s="39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1</v>
      </c>
      <c r="AC18" s="9" t="str">
        <f t="shared" si="5"/>
        <v>0</v>
      </c>
      <c r="AD18" s="10">
        <f t="shared" si="8"/>
        <v>0</v>
      </c>
      <c r="AE18" s="36">
        <f t="shared" si="6"/>
        <v>0.1992753623188406</v>
      </c>
      <c r="AF18" s="81">
        <f t="shared" si="7"/>
        <v>12</v>
      </c>
    </row>
    <row r="19" spans="1:32" ht="27" customHeight="1">
      <c r="A19" s="93">
        <v>13</v>
      </c>
      <c r="B19" s="11" t="s">
        <v>57</v>
      </c>
      <c r="C19" s="34" t="s">
        <v>112</v>
      </c>
      <c r="D19" s="52" t="s">
        <v>115</v>
      </c>
      <c r="E19" s="53" t="s">
        <v>171</v>
      </c>
      <c r="F19" s="30" t="s">
        <v>144</v>
      </c>
      <c r="G19" s="12">
        <v>2</v>
      </c>
      <c r="H19" s="13">
        <v>22</v>
      </c>
      <c r="I19" s="31">
        <v>30000</v>
      </c>
      <c r="J19" s="5">
        <v>11326</v>
      </c>
      <c r="K19" s="15">
        <f>L19+9826+11714+9940+10864+11326</f>
        <v>53670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0.1992753623188406</v>
      </c>
      <c r="AF19" s="81">
        <f t="shared" si="7"/>
        <v>13</v>
      </c>
    </row>
    <row r="20" spans="1:32" ht="27" customHeight="1">
      <c r="A20" s="93">
        <v>14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3</v>
      </c>
      <c r="H20" s="35">
        <v>24</v>
      </c>
      <c r="I20" s="7">
        <v>360000</v>
      </c>
      <c r="J20" s="14">
        <v>19056</v>
      </c>
      <c r="K20" s="15">
        <f>L20+16424+3460+8466+14048+14809+10420+6468+20028+25064+24256+18744+23224+19112+21656+19860+24856+20332+13908+23312+22632+21852+23044+17040</f>
        <v>432071</v>
      </c>
      <c r="L20" s="15">
        <f>3229*3+3123*3</f>
        <v>19056</v>
      </c>
      <c r="M20" s="15">
        <f t="shared" si="0"/>
        <v>19056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0.1992753623188406</v>
      </c>
      <c r="AF20" s="81">
        <f t="shared" si="7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128</v>
      </c>
      <c r="E21" s="53" t="s">
        <v>158</v>
      </c>
      <c r="F21" s="30" t="s">
        <v>124</v>
      </c>
      <c r="G21" s="33">
        <v>4</v>
      </c>
      <c r="H21" s="35">
        <v>24</v>
      </c>
      <c r="I21" s="7">
        <v>360000</v>
      </c>
      <c r="J21" s="14">
        <v>20332</v>
      </c>
      <c r="K21" s="15">
        <f>L21+16424+3460+8466+14048+14809+10420+6468+20028+25064+24256+18744+23224+19112+21656+19860+24856+20332</f>
        <v>291227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21</v>
      </c>
      <c r="R21" s="7"/>
      <c r="S21" s="6"/>
      <c r="T21" s="16"/>
      <c r="U21" s="16"/>
      <c r="V21" s="17">
        <v>21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0.1992753623188406</v>
      </c>
      <c r="AF21" s="81">
        <f t="shared" si="7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159</v>
      </c>
      <c r="F22" s="12" t="s">
        <v>114</v>
      </c>
      <c r="G22" s="12">
        <v>3</v>
      </c>
      <c r="H22" s="35">
        <v>20</v>
      </c>
      <c r="I22" s="7">
        <v>300000</v>
      </c>
      <c r="J22" s="14">
        <v>2532</v>
      </c>
      <c r="K22" s="15">
        <f>L22+30164+39608+36320+8901+45027+47694+40014+19857+14847</f>
        <v>284964</v>
      </c>
      <c r="L22" s="15">
        <f>844*3</f>
        <v>2532</v>
      </c>
      <c r="M22" s="15">
        <f t="shared" si="0"/>
        <v>2532</v>
      </c>
      <c r="N22" s="15">
        <v>0</v>
      </c>
      <c r="O22" s="58">
        <f t="shared" si="1"/>
        <v>0</v>
      </c>
      <c r="P22" s="39">
        <f t="shared" si="2"/>
        <v>10</v>
      </c>
      <c r="Q22" s="40">
        <f t="shared" si="3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0.41666666666666669</v>
      </c>
      <c r="AD22" s="10">
        <f t="shared" si="8"/>
        <v>0.41666666666666669</v>
      </c>
      <c r="AE22" s="36">
        <f t="shared" si="6"/>
        <v>0.1992753623188406</v>
      </c>
      <c r="AF22" s="81">
        <f t="shared" si="7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0.1992753623188406</v>
      </c>
      <c r="AF23" s="81">
        <f t="shared" si="7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9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0.1992753623188406</v>
      </c>
      <c r="AF24" s="81">
        <f t="shared" si="7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0.1992753623188406</v>
      </c>
      <c r="AF25" s="81">
        <f t="shared" si="7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0.1992753623188406</v>
      </c>
      <c r="AF26" s="81">
        <f t="shared" si="7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0.1992753623188406</v>
      </c>
      <c r="AF27" s="81">
        <f t="shared" si="7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0.1992753623188406</v>
      </c>
      <c r="AF28" s="81">
        <f t="shared" si="7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0">SUM(I6:I28)</f>
        <v>1693300</v>
      </c>
      <c r="J29" s="19">
        <f t="shared" si="10"/>
        <v>235569</v>
      </c>
      <c r="K29" s="20">
        <f t="shared" si="10"/>
        <v>1748957</v>
      </c>
      <c r="L29" s="21">
        <f t="shared" si="10"/>
        <v>56223</v>
      </c>
      <c r="M29" s="20">
        <f t="shared" si="10"/>
        <v>56223</v>
      </c>
      <c r="N29" s="21">
        <f t="shared" si="10"/>
        <v>0</v>
      </c>
      <c r="O29" s="41">
        <f t="shared" si="1"/>
        <v>0</v>
      </c>
      <c r="P29" s="42">
        <f t="shared" ref="P29:AA29" si="11">SUM(P6:P28)</f>
        <v>110</v>
      </c>
      <c r="Q29" s="43">
        <f t="shared" si="11"/>
        <v>415</v>
      </c>
      <c r="R29" s="23">
        <f t="shared" si="11"/>
        <v>0</v>
      </c>
      <c r="S29" s="24">
        <f t="shared" si="11"/>
        <v>61</v>
      </c>
      <c r="T29" s="24">
        <f t="shared" si="11"/>
        <v>4</v>
      </c>
      <c r="U29" s="24">
        <f t="shared" si="11"/>
        <v>0</v>
      </c>
      <c r="V29" s="25">
        <f t="shared" si="11"/>
        <v>35</v>
      </c>
      <c r="W29" s="26">
        <f t="shared" si="11"/>
        <v>315</v>
      </c>
      <c r="X29" s="27">
        <f t="shared" si="11"/>
        <v>0</v>
      </c>
      <c r="Y29" s="27">
        <f t="shared" si="11"/>
        <v>0</v>
      </c>
      <c r="Z29" s="27">
        <f t="shared" si="11"/>
        <v>0</v>
      </c>
      <c r="AA29" s="27">
        <f t="shared" si="11"/>
        <v>0</v>
      </c>
      <c r="AB29" s="28">
        <f>AVERAGE(AB6:AB28)</f>
        <v>0.38095238095238093</v>
      </c>
      <c r="AC29" s="4">
        <f>AVERAGE(AC6:AC28)</f>
        <v>0.20833333333333337</v>
      </c>
      <c r="AD29" s="4">
        <f>AVERAGE(AD6:AD28)</f>
        <v>0.1992753623188406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424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434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219" t="s">
        <v>46</v>
      </c>
      <c r="D58" s="219" t="s">
        <v>47</v>
      </c>
      <c r="E58" s="219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219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215" t="s">
        <v>151</v>
      </c>
      <c r="D59" s="215" t="s">
        <v>115</v>
      </c>
      <c r="E59" s="215" t="s">
        <v>289</v>
      </c>
      <c r="F59" s="412" t="s">
        <v>401</v>
      </c>
      <c r="G59" s="413"/>
      <c r="H59" s="413"/>
      <c r="I59" s="413"/>
      <c r="J59" s="413"/>
      <c r="K59" s="413"/>
      <c r="L59" s="413"/>
      <c r="M59" s="414"/>
      <c r="N59" s="223" t="s">
        <v>112</v>
      </c>
      <c r="O59" s="230" t="s">
        <v>151</v>
      </c>
      <c r="P59" s="415" t="s">
        <v>115</v>
      </c>
      <c r="Q59" s="416"/>
      <c r="R59" s="415" t="s">
        <v>289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215" t="s">
        <v>200</v>
      </c>
      <c r="D60" s="215" t="s">
        <v>121</v>
      </c>
      <c r="E60" s="215" t="s">
        <v>300</v>
      </c>
      <c r="F60" s="412" t="s">
        <v>425</v>
      </c>
      <c r="G60" s="413"/>
      <c r="H60" s="413"/>
      <c r="I60" s="413"/>
      <c r="J60" s="413"/>
      <c r="K60" s="413"/>
      <c r="L60" s="413"/>
      <c r="M60" s="414"/>
      <c r="N60" s="223" t="s">
        <v>173</v>
      </c>
      <c r="O60" s="230" t="s">
        <v>150</v>
      </c>
      <c r="P60" s="415" t="s">
        <v>115</v>
      </c>
      <c r="Q60" s="416"/>
      <c r="R60" s="415" t="s">
        <v>382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173</v>
      </c>
      <c r="B61" s="411"/>
      <c r="C61" s="215" t="s">
        <v>150</v>
      </c>
      <c r="D61" s="215" t="s">
        <v>115</v>
      </c>
      <c r="E61" s="215" t="s">
        <v>382</v>
      </c>
      <c r="F61" s="412" t="s">
        <v>399</v>
      </c>
      <c r="G61" s="413"/>
      <c r="H61" s="413"/>
      <c r="I61" s="413"/>
      <c r="J61" s="413"/>
      <c r="K61" s="413"/>
      <c r="L61" s="413"/>
      <c r="M61" s="414"/>
      <c r="N61" s="218" t="s">
        <v>173</v>
      </c>
      <c r="O61" s="212" t="s">
        <v>150</v>
      </c>
      <c r="P61" s="415" t="s">
        <v>435</v>
      </c>
      <c r="Q61" s="416"/>
      <c r="R61" s="415" t="s">
        <v>436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429</v>
      </c>
      <c r="B62" s="411"/>
      <c r="C62" s="215" t="s">
        <v>430</v>
      </c>
      <c r="D62" s="215" t="s">
        <v>431</v>
      </c>
      <c r="E62" s="215" t="s">
        <v>423</v>
      </c>
      <c r="F62" s="412" t="s">
        <v>427</v>
      </c>
      <c r="G62" s="413"/>
      <c r="H62" s="413"/>
      <c r="I62" s="413"/>
      <c r="J62" s="413"/>
      <c r="K62" s="413"/>
      <c r="L62" s="413"/>
      <c r="M62" s="414"/>
      <c r="N62" s="218" t="s">
        <v>413</v>
      </c>
      <c r="O62" s="212" t="s">
        <v>414</v>
      </c>
      <c r="P62" s="415" t="s">
        <v>415</v>
      </c>
      <c r="Q62" s="416"/>
      <c r="R62" s="415" t="s">
        <v>412</v>
      </c>
      <c r="S62" s="417"/>
      <c r="T62" s="417"/>
      <c r="U62" s="416"/>
      <c r="V62" s="412" t="s">
        <v>404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15" t="s">
        <v>432</v>
      </c>
      <c r="D63" s="215" t="s">
        <v>433</v>
      </c>
      <c r="E63" s="215" t="s">
        <v>426</v>
      </c>
      <c r="F63" s="412" t="s">
        <v>428</v>
      </c>
      <c r="G63" s="413"/>
      <c r="H63" s="413"/>
      <c r="I63" s="413"/>
      <c r="J63" s="413"/>
      <c r="K63" s="413"/>
      <c r="L63" s="413"/>
      <c r="M63" s="414"/>
      <c r="N63" s="218" t="s">
        <v>413</v>
      </c>
      <c r="O63" s="212" t="s">
        <v>417</v>
      </c>
      <c r="P63" s="415" t="s">
        <v>418</v>
      </c>
      <c r="Q63" s="416"/>
      <c r="R63" s="415" t="s">
        <v>416</v>
      </c>
      <c r="S63" s="417"/>
      <c r="T63" s="417"/>
      <c r="U63" s="416"/>
      <c r="V63" s="412" t="s">
        <v>404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215"/>
      <c r="D64" s="215"/>
      <c r="E64" s="215"/>
      <c r="F64" s="412"/>
      <c r="G64" s="413"/>
      <c r="H64" s="413"/>
      <c r="I64" s="413"/>
      <c r="J64" s="413"/>
      <c r="K64" s="413"/>
      <c r="L64" s="413"/>
      <c r="M64" s="414"/>
      <c r="N64" s="218" t="s">
        <v>112</v>
      </c>
      <c r="O64" s="212" t="s">
        <v>432</v>
      </c>
      <c r="P64" s="415" t="s">
        <v>433</v>
      </c>
      <c r="Q64" s="416"/>
      <c r="R64" s="415" t="s">
        <v>426</v>
      </c>
      <c r="S64" s="417"/>
      <c r="T64" s="417"/>
      <c r="U64" s="416"/>
      <c r="V64" s="412" t="s">
        <v>220</v>
      </c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/>
      <c r="B65" s="411"/>
      <c r="C65" s="215"/>
      <c r="D65" s="215"/>
      <c r="E65" s="215"/>
      <c r="F65" s="412"/>
      <c r="G65" s="413"/>
      <c r="H65" s="413"/>
      <c r="I65" s="413"/>
      <c r="J65" s="413"/>
      <c r="K65" s="413"/>
      <c r="L65" s="413"/>
      <c r="M65" s="414"/>
      <c r="N65" s="218"/>
      <c r="O65" s="212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14"/>
      <c r="D66" s="214"/>
      <c r="E66" s="215"/>
      <c r="F66" s="412"/>
      <c r="G66" s="413"/>
      <c r="H66" s="413"/>
      <c r="I66" s="413"/>
      <c r="J66" s="413"/>
      <c r="K66" s="413"/>
      <c r="L66" s="413"/>
      <c r="M66" s="414"/>
      <c r="N66" s="218"/>
      <c r="O66" s="212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214"/>
      <c r="D67" s="214"/>
      <c r="E67" s="215"/>
      <c r="F67" s="412"/>
      <c r="G67" s="413"/>
      <c r="H67" s="413"/>
      <c r="I67" s="413"/>
      <c r="J67" s="413"/>
      <c r="K67" s="413"/>
      <c r="L67" s="413"/>
      <c r="M67" s="414"/>
      <c r="N67" s="218"/>
      <c r="O67" s="212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216"/>
      <c r="D68" s="217"/>
      <c r="E68" s="216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437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213" t="s">
        <v>2</v>
      </c>
      <c r="D70" s="213" t="s">
        <v>37</v>
      </c>
      <c r="E70" s="213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213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440</v>
      </c>
      <c r="D71" s="208"/>
      <c r="E71" s="211" t="s">
        <v>441</v>
      </c>
      <c r="F71" s="437" t="s">
        <v>438</v>
      </c>
      <c r="G71" s="438"/>
      <c r="H71" s="438"/>
      <c r="I71" s="438"/>
      <c r="J71" s="438"/>
      <c r="K71" s="438" t="s">
        <v>442</v>
      </c>
      <c r="L71" s="438"/>
      <c r="M71" s="51" t="s">
        <v>443</v>
      </c>
      <c r="N71" s="439" t="s">
        <v>444</v>
      </c>
      <c r="O71" s="439"/>
      <c r="P71" s="440">
        <v>20</v>
      </c>
      <c r="Q71" s="440"/>
      <c r="R71" s="441" t="s">
        <v>445</v>
      </c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429</v>
      </c>
      <c r="D72" s="208"/>
      <c r="E72" s="211" t="s">
        <v>446</v>
      </c>
      <c r="F72" s="437" t="s">
        <v>439</v>
      </c>
      <c r="G72" s="438"/>
      <c r="H72" s="438"/>
      <c r="I72" s="438"/>
      <c r="J72" s="438"/>
      <c r="K72" s="438" t="s">
        <v>447</v>
      </c>
      <c r="L72" s="438"/>
      <c r="M72" s="51" t="s">
        <v>443</v>
      </c>
      <c r="N72" s="439" t="s">
        <v>448</v>
      </c>
      <c r="O72" s="439"/>
      <c r="P72" s="440"/>
      <c r="Q72" s="440"/>
      <c r="R72" s="441" t="s">
        <v>449</v>
      </c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/>
      <c r="D73" s="208"/>
      <c r="E73" s="211"/>
      <c r="F73" s="437"/>
      <c r="G73" s="438"/>
      <c r="H73" s="438"/>
      <c r="I73" s="438"/>
      <c r="J73" s="438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/>
      <c r="D74" s="208"/>
      <c r="E74" s="211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208"/>
      <c r="E75" s="211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208"/>
      <c r="E76" s="211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208"/>
      <c r="E77" s="211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208"/>
      <c r="E78" s="211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208"/>
      <c r="E79" s="211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208"/>
      <c r="E80" s="211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450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210" t="s">
        <v>2</v>
      </c>
      <c r="D82" s="210" t="s">
        <v>37</v>
      </c>
      <c r="E82" s="210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209"/>
      <c r="D83" s="209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208"/>
      <c r="D84" s="208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12">A84+1</f>
        <v>3</v>
      </c>
      <c r="B85" s="455"/>
      <c r="C85" s="208"/>
      <c r="D85" s="208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4</v>
      </c>
      <c r="B86" s="455"/>
      <c r="C86" s="208"/>
      <c r="D86" s="208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5</v>
      </c>
      <c r="B87" s="455"/>
      <c r="C87" s="208"/>
      <c r="D87" s="208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6</v>
      </c>
      <c r="B88" s="455"/>
      <c r="C88" s="208"/>
      <c r="D88" s="208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12"/>
        <v>7</v>
      </c>
      <c r="B89" s="455"/>
      <c r="C89" s="208"/>
      <c r="D89" s="208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451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832E-69E7-4686-A3AE-6644AD88E42F}">
  <sheetPr>
    <pageSetUpPr fitToPage="1"/>
  </sheetPr>
  <dimension ref="A1:AF94"/>
  <sheetViews>
    <sheetView view="pageBreakPreview" zoomScale="70" zoomScaleNormal="72" zoomScaleSheetLayoutView="70" workbookViewId="0">
      <selection activeCell="K9" sqref="K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452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L6+2794</f>
        <v>2794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>AC6*AB6*(1-O6)</f>
        <v>0</v>
      </c>
      <c r="AE6" s="36">
        <f t="shared" ref="AE6:AE28" si="6">$AD$29</f>
        <v>0.31521739130434784</v>
      </c>
      <c r="AF6" s="81">
        <f t="shared" ref="AF6:AF28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350</v>
      </c>
      <c r="E7" s="53" t="s">
        <v>351</v>
      </c>
      <c r="F7" s="30" t="s">
        <v>145</v>
      </c>
      <c r="G7" s="12">
        <v>1</v>
      </c>
      <c r="H7" s="13">
        <v>24</v>
      </c>
      <c r="I7" s="31">
        <v>6000</v>
      </c>
      <c r="J7" s="14">
        <v>4146</v>
      </c>
      <c r="K7" s="15">
        <f>L7+2878</f>
        <v>7024</v>
      </c>
      <c r="L7" s="15">
        <f>3056+1090</f>
        <v>4146</v>
      </c>
      <c r="M7" s="15">
        <f t="shared" si="0"/>
        <v>4146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>
        <v>6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ref="AD7:AD28" si="8">AC7*AB7*(1-O7)</f>
        <v>0.75</v>
      </c>
      <c r="AE7" s="36">
        <f t="shared" si="6"/>
        <v>0.31521739130434784</v>
      </c>
      <c r="AF7" s="81">
        <f t="shared" si="7"/>
        <v>2</v>
      </c>
    </row>
    <row r="8" spans="1:32" ht="27" customHeight="1">
      <c r="A8" s="107">
        <v>3</v>
      </c>
      <c r="B8" s="11" t="s">
        <v>57</v>
      </c>
      <c r="C8" s="34" t="s">
        <v>129</v>
      </c>
      <c r="D8" s="52" t="s">
        <v>154</v>
      </c>
      <c r="E8" s="53" t="s">
        <v>416</v>
      </c>
      <c r="F8" s="30" t="s">
        <v>282</v>
      </c>
      <c r="G8" s="12">
        <v>2</v>
      </c>
      <c r="H8" s="13">
        <v>24</v>
      </c>
      <c r="I8" s="7">
        <v>10000</v>
      </c>
      <c r="J8" s="14">
        <v>1278</v>
      </c>
      <c r="K8" s="15">
        <f>L8</f>
        <v>1278</v>
      </c>
      <c r="L8" s="15">
        <f>639*2</f>
        <v>1278</v>
      </c>
      <c r="M8" s="15">
        <f t="shared" si="0"/>
        <v>1278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>
        <v>20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8"/>
        <v>0.16666666666666666</v>
      </c>
      <c r="AE8" s="36">
        <f t="shared" si="6"/>
        <v>0.31521739130434784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129</v>
      </c>
      <c r="D9" s="52" t="s">
        <v>170</v>
      </c>
      <c r="E9" s="53" t="s">
        <v>412</v>
      </c>
      <c r="F9" s="30" t="s">
        <v>282</v>
      </c>
      <c r="G9" s="12">
        <v>2</v>
      </c>
      <c r="H9" s="13">
        <v>24</v>
      </c>
      <c r="I9" s="7">
        <v>10000</v>
      </c>
      <c r="J9" s="14">
        <v>6610</v>
      </c>
      <c r="K9" s="15">
        <f>L9</f>
        <v>6610</v>
      </c>
      <c r="L9" s="15">
        <f>2727*2+578*2</f>
        <v>6610</v>
      </c>
      <c r="M9" s="15">
        <f t="shared" si="0"/>
        <v>6610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8"/>
        <v>0.70833333333333337</v>
      </c>
      <c r="AE9" s="36">
        <f t="shared" si="6"/>
        <v>0.31521739130434784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116</v>
      </c>
      <c r="D10" s="52" t="s">
        <v>147</v>
      </c>
      <c r="E10" s="53" t="s">
        <v>423</v>
      </c>
      <c r="F10" s="30" t="s">
        <v>130</v>
      </c>
      <c r="G10" s="33">
        <v>2</v>
      </c>
      <c r="H10" s="35">
        <v>24</v>
      </c>
      <c r="I10" s="7">
        <v>2000</v>
      </c>
      <c r="J10" s="14">
        <v>5408</v>
      </c>
      <c r="K10" s="15">
        <f>L10+5408</f>
        <v>5408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8"/>
        <v>0</v>
      </c>
      <c r="AE10" s="36">
        <f t="shared" si="6"/>
        <v>0.31521739130434784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112</v>
      </c>
      <c r="D11" s="52" t="s">
        <v>353</v>
      </c>
      <c r="E11" s="53" t="s">
        <v>352</v>
      </c>
      <c r="F11" s="30" t="s">
        <v>366</v>
      </c>
      <c r="G11" s="33">
        <v>2</v>
      </c>
      <c r="H11" s="35">
        <v>24</v>
      </c>
      <c r="I11" s="7">
        <v>13000</v>
      </c>
      <c r="J11" s="14">
        <v>8446</v>
      </c>
      <c r="K11" s="15">
        <f>L11</f>
        <v>8446</v>
      </c>
      <c r="L11" s="15">
        <f>3246*2+977*2</f>
        <v>8446</v>
      </c>
      <c r="M11" s="15">
        <f t="shared" si="0"/>
        <v>8446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/>
      <c r="T11" s="16">
        <v>6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0.75</v>
      </c>
      <c r="AD11" s="10">
        <f t="shared" si="8"/>
        <v>0.75</v>
      </c>
      <c r="AE11" s="36">
        <f t="shared" si="6"/>
        <v>0.31521739130434784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5077</v>
      </c>
      <c r="K12" s="15">
        <f>L12+5056+5299+5142+4725+5285+5308+3502+5153+5075+5268+5338+5267+5184+5110+5267+5309+13944</f>
        <v>100309</v>
      </c>
      <c r="L12" s="15">
        <f>2511+2566</f>
        <v>5077</v>
      </c>
      <c r="M12" s="15">
        <f t="shared" si="0"/>
        <v>5077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0.31521739130434784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210000</v>
      </c>
      <c r="J13" s="14">
        <v>25572</v>
      </c>
      <c r="K13" s="15">
        <f>L13+15812+27532+25338+16995+13672+26388+24942</f>
        <v>176251</v>
      </c>
      <c r="L13" s="15">
        <f>3121*4+3272*4</f>
        <v>25572</v>
      </c>
      <c r="M13" s="15">
        <f t="shared" si="0"/>
        <v>25572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0.31521739130434784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173</v>
      </c>
      <c r="D14" s="52" t="s">
        <v>115</v>
      </c>
      <c r="E14" s="53" t="s">
        <v>382</v>
      </c>
      <c r="F14" s="30" t="s">
        <v>141</v>
      </c>
      <c r="G14" s="33">
        <v>1</v>
      </c>
      <c r="H14" s="35">
        <v>50</v>
      </c>
      <c r="I14" s="7">
        <v>100</v>
      </c>
      <c r="J14" s="5">
        <v>105</v>
      </c>
      <c r="K14" s="15">
        <f>L14</f>
        <v>105</v>
      </c>
      <c r="L14" s="15">
        <v>105</v>
      </c>
      <c r="M14" s="15">
        <f t="shared" ref="M14" si="9">L14-N14</f>
        <v>105</v>
      </c>
      <c r="N14" s="15">
        <v>0</v>
      </c>
      <c r="O14" s="58">
        <f t="shared" ref="O14" si="10">IF(L14=0,"0",N14/L14)</f>
        <v>0</v>
      </c>
      <c r="P14" s="39">
        <f t="shared" ref="P14" si="11">IF(L14=0,"0",(24-Q14))</f>
        <v>3</v>
      </c>
      <c r="Q14" s="40">
        <f t="shared" ref="Q14" si="12">SUM(R14:AA14)</f>
        <v>21</v>
      </c>
      <c r="R14" s="7"/>
      <c r="S14" s="6">
        <v>2</v>
      </c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ref="AB14" si="13">IF(J14=0,"0",(L14/J14))</f>
        <v>1</v>
      </c>
      <c r="AC14" s="9">
        <f t="shared" ref="AC14" si="14">IF(P14=0,"0",(P14/24))</f>
        <v>0.125</v>
      </c>
      <c r="AD14" s="10">
        <f t="shared" ref="AD14" si="15">AC14*AB14*(1-O14)</f>
        <v>0.125</v>
      </c>
      <c r="AE14" s="36">
        <f t="shared" si="6"/>
        <v>0.31521739130434784</v>
      </c>
      <c r="AF14" s="81">
        <f t="shared" ref="AF14" si="16">A14</f>
        <v>9</v>
      </c>
    </row>
    <row r="15" spans="1:32" ht="27" customHeight="1">
      <c r="A15" s="100">
        <v>9</v>
      </c>
      <c r="B15" s="11" t="s">
        <v>57</v>
      </c>
      <c r="C15" s="34" t="s">
        <v>173</v>
      </c>
      <c r="D15" s="52" t="s">
        <v>453</v>
      </c>
      <c r="E15" s="53" t="s">
        <v>436</v>
      </c>
      <c r="F15" s="30" t="s">
        <v>141</v>
      </c>
      <c r="G15" s="33">
        <v>1</v>
      </c>
      <c r="H15" s="35">
        <v>50</v>
      </c>
      <c r="I15" s="7">
        <v>100</v>
      </c>
      <c r="J15" s="5">
        <v>120</v>
      </c>
      <c r="K15" s="15">
        <f>L15</f>
        <v>120</v>
      </c>
      <c r="L15" s="15">
        <v>120</v>
      </c>
      <c r="M15" s="15">
        <f t="shared" si="0"/>
        <v>120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/>
      <c r="T15" s="16"/>
      <c r="U15" s="16"/>
      <c r="V15" s="17"/>
      <c r="W15" s="5">
        <v>20</v>
      </c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8"/>
        <v>0.16666666666666666</v>
      </c>
      <c r="AE15" s="36">
        <f t="shared" si="6"/>
        <v>0.31521739130434784</v>
      </c>
      <c r="AF15" s="81">
        <f t="shared" si="7"/>
        <v>9</v>
      </c>
    </row>
    <row r="16" spans="1:32" ht="27" customHeight="1">
      <c r="A16" s="107">
        <v>10</v>
      </c>
      <c r="B16" s="11" t="s">
        <v>57</v>
      </c>
      <c r="C16" s="34" t="s">
        <v>116</v>
      </c>
      <c r="D16" s="52" t="s">
        <v>121</v>
      </c>
      <c r="E16" s="53" t="s">
        <v>127</v>
      </c>
      <c r="F16" s="30" t="s">
        <v>125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0.31521739130434784</v>
      </c>
      <c r="AF16" s="81">
        <f t="shared" si="7"/>
        <v>10</v>
      </c>
    </row>
    <row r="17" spans="1:32" ht="27" customHeight="1">
      <c r="A17" s="107">
        <v>11</v>
      </c>
      <c r="B17" s="11" t="s">
        <v>57</v>
      </c>
      <c r="C17" s="34" t="s">
        <v>112</v>
      </c>
      <c r="D17" s="52" t="s">
        <v>121</v>
      </c>
      <c r="E17" s="53" t="s">
        <v>300</v>
      </c>
      <c r="F17" s="30" t="s">
        <v>130</v>
      </c>
      <c r="G17" s="12">
        <v>2</v>
      </c>
      <c r="H17" s="13">
        <v>24</v>
      </c>
      <c r="I17" s="7">
        <v>27000</v>
      </c>
      <c r="J17" s="14">
        <v>6502</v>
      </c>
      <c r="K17" s="15">
        <f>L17+7530+9504+2748+6010</f>
        <v>32294</v>
      </c>
      <c r="L17" s="15">
        <f>2997+3505</f>
        <v>6502</v>
      </c>
      <c r="M17" s="15">
        <f t="shared" si="0"/>
        <v>6502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0.31521739130434784</v>
      </c>
      <c r="AF17" s="81">
        <f t="shared" si="7"/>
        <v>11</v>
      </c>
    </row>
    <row r="18" spans="1:32" ht="27" customHeight="1">
      <c r="A18" s="107">
        <v>12</v>
      </c>
      <c r="B18" s="11" t="s">
        <v>57</v>
      </c>
      <c r="C18" s="34" t="s">
        <v>116</v>
      </c>
      <c r="D18" s="52" t="s">
        <v>146</v>
      </c>
      <c r="E18" s="53" t="s">
        <v>293</v>
      </c>
      <c r="F18" s="30" t="s">
        <v>278</v>
      </c>
      <c r="G18" s="12">
        <v>1</v>
      </c>
      <c r="H18" s="13">
        <v>24</v>
      </c>
      <c r="I18" s="7">
        <v>6000</v>
      </c>
      <c r="J18" s="14">
        <v>5395</v>
      </c>
      <c r="K18" s="15">
        <f>L18+5785+5395</f>
        <v>11180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0.31521739130434784</v>
      </c>
      <c r="AF18" s="81">
        <f t="shared" si="7"/>
        <v>12</v>
      </c>
    </row>
    <row r="19" spans="1:32" ht="27" customHeight="1">
      <c r="A19" s="93">
        <v>13</v>
      </c>
      <c r="B19" s="11" t="s">
        <v>57</v>
      </c>
      <c r="C19" s="34" t="s">
        <v>129</v>
      </c>
      <c r="D19" s="52" t="s">
        <v>115</v>
      </c>
      <c r="E19" s="53" t="s">
        <v>454</v>
      </c>
      <c r="F19" s="30" t="s">
        <v>144</v>
      </c>
      <c r="G19" s="12">
        <v>1</v>
      </c>
      <c r="H19" s="13">
        <v>22</v>
      </c>
      <c r="I19" s="31">
        <v>2000</v>
      </c>
      <c r="J19" s="5">
        <v>2371</v>
      </c>
      <c r="K19" s="15">
        <f>L19</f>
        <v>2371</v>
      </c>
      <c r="L19" s="15">
        <v>2371</v>
      </c>
      <c r="M19" s="15">
        <f t="shared" si="0"/>
        <v>2371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10</v>
      </c>
      <c r="AB19" s="8">
        <f t="shared" si="4"/>
        <v>1</v>
      </c>
      <c r="AC19" s="9">
        <f t="shared" si="5"/>
        <v>0.58333333333333337</v>
      </c>
      <c r="AD19" s="10">
        <f t="shared" si="8"/>
        <v>0.58333333333333337</v>
      </c>
      <c r="AE19" s="36">
        <f t="shared" si="6"/>
        <v>0.31521739130434784</v>
      </c>
      <c r="AF19" s="81">
        <f t="shared" si="7"/>
        <v>13</v>
      </c>
    </row>
    <row r="20" spans="1:32" ht="27" customHeight="1">
      <c r="A20" s="93">
        <v>14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3</v>
      </c>
      <c r="H20" s="35">
        <v>24</v>
      </c>
      <c r="I20" s="7">
        <v>480000</v>
      </c>
      <c r="J20" s="14">
        <v>16611</v>
      </c>
      <c r="K20" s="15">
        <f>L20+16424+3460+8466+14048+14809+10420+6468+20028+25064+24256+18744+23224+19112+21656+19860+24856+20332+13908+23312+22632+21852+23044+17040+19056</f>
        <v>448682</v>
      </c>
      <c r="L20" s="15">
        <f>2508*3+3029*3</f>
        <v>16611</v>
      </c>
      <c r="M20" s="15">
        <f t="shared" si="0"/>
        <v>16611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8"/>
        <v>1</v>
      </c>
      <c r="AE20" s="36">
        <f t="shared" si="6"/>
        <v>0.31521739130434784</v>
      </c>
      <c r="AF20" s="81">
        <f t="shared" si="7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128</v>
      </c>
      <c r="E21" s="53" t="s">
        <v>158</v>
      </c>
      <c r="F21" s="30" t="s">
        <v>124</v>
      </c>
      <c r="G21" s="33">
        <v>4</v>
      </c>
      <c r="H21" s="35">
        <v>24</v>
      </c>
      <c r="I21" s="7">
        <v>360000</v>
      </c>
      <c r="J21" s="14">
        <v>20332</v>
      </c>
      <c r="K21" s="15">
        <f>L21+16424+3460+8466+14048+14809+10420+6468+20028+25064+24256+18744+23224+19112+21656+19860+24856+20332</f>
        <v>291227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>
        <v>24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0.31521739130434784</v>
      </c>
      <c r="AF21" s="81">
        <f t="shared" si="7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159</v>
      </c>
      <c r="F22" s="12" t="s">
        <v>114</v>
      </c>
      <c r="G22" s="12">
        <v>3</v>
      </c>
      <c r="H22" s="35">
        <v>20</v>
      </c>
      <c r="I22" s="7">
        <v>300000</v>
      </c>
      <c r="J22" s="14">
        <v>2532</v>
      </c>
      <c r="K22" s="15">
        <f>L22+30164+39608+36320+8901+45027+47694+40014+19857+14847+2532</f>
        <v>284964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0.31521739130434784</v>
      </c>
      <c r="AF22" s="81">
        <f t="shared" si="7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0.31521739130434784</v>
      </c>
      <c r="AF23" s="81">
        <f t="shared" si="7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0.31521739130434784</v>
      </c>
      <c r="AF24" s="81">
        <f t="shared" si="7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0.31521739130434784</v>
      </c>
      <c r="AF25" s="81">
        <f t="shared" si="7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0.31521739130434784</v>
      </c>
      <c r="AF26" s="81">
        <f t="shared" si="7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0.31521739130434784</v>
      </c>
      <c r="AF27" s="81">
        <f t="shared" si="7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0.31521739130434784</v>
      </c>
      <c r="AF28" s="81">
        <f t="shared" si="7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8">SUM(I6:I28)</f>
        <v>1900400</v>
      </c>
      <c r="J29" s="19">
        <f t="shared" si="18"/>
        <v>221403</v>
      </c>
      <c r="K29" s="20">
        <f t="shared" si="18"/>
        <v>1744063</v>
      </c>
      <c r="L29" s="21">
        <f t="shared" si="18"/>
        <v>76838</v>
      </c>
      <c r="M29" s="20">
        <f t="shared" si="18"/>
        <v>76838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174</v>
      </c>
      <c r="Q29" s="43">
        <f t="shared" si="19"/>
        <v>378</v>
      </c>
      <c r="R29" s="23">
        <f t="shared" si="19"/>
        <v>24</v>
      </c>
      <c r="S29" s="24">
        <f t="shared" si="19"/>
        <v>35</v>
      </c>
      <c r="T29" s="24">
        <f t="shared" si="19"/>
        <v>6</v>
      </c>
      <c r="U29" s="24">
        <f t="shared" si="19"/>
        <v>0</v>
      </c>
      <c r="V29" s="25">
        <f t="shared" si="19"/>
        <v>24</v>
      </c>
      <c r="W29" s="26">
        <f t="shared" si="19"/>
        <v>279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10</v>
      </c>
      <c r="AB29" s="28">
        <f>AVERAGE(AB6:AB28)</f>
        <v>0.52380952380952384</v>
      </c>
      <c r="AC29" s="4">
        <f>AVERAGE(AC6:AC28)</f>
        <v>0.31521739130434784</v>
      </c>
      <c r="AD29" s="4">
        <f>AVERAGE(AD6:AD28)</f>
        <v>0.31521739130434784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455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466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222" t="s">
        <v>46</v>
      </c>
      <c r="D58" s="222" t="s">
        <v>47</v>
      </c>
      <c r="E58" s="222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222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224" t="s">
        <v>185</v>
      </c>
      <c r="D59" s="224" t="s">
        <v>115</v>
      </c>
      <c r="E59" s="224" t="s">
        <v>289</v>
      </c>
      <c r="F59" s="412" t="s">
        <v>343</v>
      </c>
      <c r="G59" s="413"/>
      <c r="H59" s="413"/>
      <c r="I59" s="413"/>
      <c r="J59" s="413"/>
      <c r="K59" s="413"/>
      <c r="L59" s="413"/>
      <c r="M59" s="414"/>
      <c r="N59" s="223" t="s">
        <v>112</v>
      </c>
      <c r="O59" s="230" t="s">
        <v>253</v>
      </c>
      <c r="P59" s="415" t="s">
        <v>115</v>
      </c>
      <c r="Q59" s="416"/>
      <c r="R59" s="415" t="s">
        <v>289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173</v>
      </c>
      <c r="B60" s="411"/>
      <c r="C60" s="235" t="s">
        <v>150</v>
      </c>
      <c r="D60" s="235" t="s">
        <v>115</v>
      </c>
      <c r="E60" s="235" t="s">
        <v>382</v>
      </c>
      <c r="F60" s="412" t="s">
        <v>456</v>
      </c>
      <c r="G60" s="413"/>
      <c r="H60" s="413"/>
      <c r="I60" s="413"/>
      <c r="J60" s="413"/>
      <c r="K60" s="413"/>
      <c r="L60" s="413"/>
      <c r="M60" s="414"/>
      <c r="N60" s="236" t="s">
        <v>129</v>
      </c>
      <c r="O60" s="234" t="s">
        <v>151</v>
      </c>
      <c r="P60" s="415" t="s">
        <v>154</v>
      </c>
      <c r="Q60" s="416"/>
      <c r="R60" s="415" t="s">
        <v>416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173</v>
      </c>
      <c r="B61" s="411"/>
      <c r="C61" s="224" t="s">
        <v>150</v>
      </c>
      <c r="D61" s="224" t="s">
        <v>435</v>
      </c>
      <c r="E61" s="224" t="s">
        <v>436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223" t="s">
        <v>112</v>
      </c>
      <c r="O61" s="230" t="s">
        <v>469</v>
      </c>
      <c r="P61" s="415" t="s">
        <v>470</v>
      </c>
      <c r="Q61" s="416"/>
      <c r="R61" s="415" t="s">
        <v>467</v>
      </c>
      <c r="S61" s="417"/>
      <c r="T61" s="417"/>
      <c r="U61" s="416"/>
      <c r="V61" s="412" t="s">
        <v>468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224" t="s">
        <v>185</v>
      </c>
      <c r="D62" s="224" t="s">
        <v>457</v>
      </c>
      <c r="E62" s="224" t="s">
        <v>352</v>
      </c>
      <c r="F62" s="412" t="s">
        <v>427</v>
      </c>
      <c r="G62" s="413"/>
      <c r="H62" s="413"/>
      <c r="I62" s="413"/>
      <c r="J62" s="413"/>
      <c r="K62" s="413"/>
      <c r="L62" s="413"/>
      <c r="M62" s="414"/>
      <c r="N62" s="223" t="s">
        <v>472</v>
      </c>
      <c r="O62" s="230" t="s">
        <v>473</v>
      </c>
      <c r="P62" s="415"/>
      <c r="Q62" s="416"/>
      <c r="R62" s="415" t="s">
        <v>471</v>
      </c>
      <c r="S62" s="417"/>
      <c r="T62" s="417"/>
      <c r="U62" s="416"/>
      <c r="V62" s="412" t="s">
        <v>468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24" t="s">
        <v>432</v>
      </c>
      <c r="D63" s="224" t="s">
        <v>433</v>
      </c>
      <c r="E63" s="224" t="s">
        <v>426</v>
      </c>
      <c r="F63" s="412" t="s">
        <v>220</v>
      </c>
      <c r="G63" s="413"/>
      <c r="H63" s="413"/>
      <c r="I63" s="413"/>
      <c r="J63" s="413"/>
      <c r="K63" s="413"/>
      <c r="L63" s="413"/>
      <c r="M63" s="414"/>
      <c r="N63" s="223"/>
      <c r="O63" s="230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458</v>
      </c>
      <c r="B64" s="411"/>
      <c r="C64" s="224" t="s">
        <v>459</v>
      </c>
      <c r="D64" s="224" t="s">
        <v>460</v>
      </c>
      <c r="E64" s="224" t="s">
        <v>461</v>
      </c>
      <c r="F64" s="412" t="s">
        <v>465</v>
      </c>
      <c r="G64" s="413"/>
      <c r="H64" s="413"/>
      <c r="I64" s="413"/>
      <c r="J64" s="413"/>
      <c r="K64" s="413"/>
      <c r="L64" s="413"/>
      <c r="M64" s="414"/>
      <c r="N64" s="223"/>
      <c r="O64" s="230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458</v>
      </c>
      <c r="B65" s="411"/>
      <c r="C65" s="224" t="s">
        <v>463</v>
      </c>
      <c r="D65" s="224" t="s">
        <v>464</v>
      </c>
      <c r="E65" s="224" t="s">
        <v>462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223"/>
      <c r="O65" s="230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27"/>
      <c r="D66" s="227"/>
      <c r="E66" s="224"/>
      <c r="F66" s="412"/>
      <c r="G66" s="413"/>
      <c r="H66" s="413"/>
      <c r="I66" s="413"/>
      <c r="J66" s="413"/>
      <c r="K66" s="413"/>
      <c r="L66" s="413"/>
      <c r="M66" s="414"/>
      <c r="N66" s="223"/>
      <c r="O66" s="230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227"/>
      <c r="D67" s="227"/>
      <c r="E67" s="224"/>
      <c r="F67" s="412"/>
      <c r="G67" s="413"/>
      <c r="H67" s="413"/>
      <c r="I67" s="413"/>
      <c r="J67" s="413"/>
      <c r="K67" s="413"/>
      <c r="L67" s="413"/>
      <c r="M67" s="414"/>
      <c r="N67" s="223"/>
      <c r="O67" s="230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225"/>
      <c r="D68" s="226"/>
      <c r="E68" s="225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474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228" t="s">
        <v>2</v>
      </c>
      <c r="D70" s="228" t="s">
        <v>37</v>
      </c>
      <c r="E70" s="228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228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440</v>
      </c>
      <c r="D71" s="232"/>
      <c r="E71" s="229" t="s">
        <v>441</v>
      </c>
      <c r="F71" s="437" t="s">
        <v>438</v>
      </c>
      <c r="G71" s="438"/>
      <c r="H71" s="438"/>
      <c r="I71" s="438"/>
      <c r="J71" s="438"/>
      <c r="K71" s="438" t="s">
        <v>442</v>
      </c>
      <c r="L71" s="438"/>
      <c r="M71" s="51" t="s">
        <v>443</v>
      </c>
      <c r="N71" s="439" t="s">
        <v>444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429</v>
      </c>
      <c r="D72" s="232"/>
      <c r="E72" s="229" t="s">
        <v>446</v>
      </c>
      <c r="F72" s="437" t="s">
        <v>439</v>
      </c>
      <c r="G72" s="438"/>
      <c r="H72" s="438"/>
      <c r="I72" s="438"/>
      <c r="J72" s="438"/>
      <c r="K72" s="438" t="s">
        <v>447</v>
      </c>
      <c r="L72" s="438"/>
      <c r="M72" s="51" t="s">
        <v>443</v>
      </c>
      <c r="N72" s="439" t="s">
        <v>448</v>
      </c>
      <c r="O72" s="439"/>
      <c r="P72" s="440">
        <v>15</v>
      </c>
      <c r="Q72" s="440"/>
      <c r="R72" s="441" t="s">
        <v>401</v>
      </c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/>
      <c r="D73" s="232"/>
      <c r="E73" s="229"/>
      <c r="F73" s="437"/>
      <c r="G73" s="438"/>
      <c r="H73" s="438"/>
      <c r="I73" s="438"/>
      <c r="J73" s="438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/>
      <c r="D74" s="232"/>
      <c r="E74" s="229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232"/>
      <c r="E75" s="229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232"/>
      <c r="E76" s="229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232"/>
      <c r="E77" s="229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232"/>
      <c r="E78" s="229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232"/>
      <c r="E79" s="229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232"/>
      <c r="E80" s="229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475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231" t="s">
        <v>2</v>
      </c>
      <c r="D82" s="231" t="s">
        <v>37</v>
      </c>
      <c r="E82" s="231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233"/>
      <c r="D83" s="233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232"/>
      <c r="D84" s="232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20">A84+1</f>
        <v>3</v>
      </c>
      <c r="B85" s="455"/>
      <c r="C85" s="232"/>
      <c r="D85" s="232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0"/>
        <v>4</v>
      </c>
      <c r="B86" s="455"/>
      <c r="C86" s="232"/>
      <c r="D86" s="232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5</v>
      </c>
      <c r="B87" s="455"/>
      <c r="C87" s="232"/>
      <c r="D87" s="232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6</v>
      </c>
      <c r="B88" s="455"/>
      <c r="C88" s="232"/>
      <c r="D88" s="232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7</v>
      </c>
      <c r="B89" s="455"/>
      <c r="C89" s="232"/>
      <c r="D89" s="232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476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E1E2-B7E2-4862-BA44-66B5322A47EB}">
  <sheetPr>
    <pageSetUpPr fitToPage="1"/>
  </sheetPr>
  <dimension ref="A1:AF93"/>
  <sheetViews>
    <sheetView view="pageBreakPreview" zoomScale="70" zoomScaleNormal="72" zoomScaleSheetLayoutView="70" workbookViewId="0">
      <selection activeCell="F86" sqref="F86:J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477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37" t="s">
        <v>17</v>
      </c>
      <c r="L5" s="237" t="s">
        <v>18</v>
      </c>
      <c r="M5" s="237" t="s">
        <v>19</v>
      </c>
      <c r="N5" s="2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L6+2794</f>
        <v>2794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0.35795454545454547</v>
      </c>
      <c r="AF6" s="81">
        <f t="shared" ref="AF6:AF27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350</v>
      </c>
      <c r="E7" s="53" t="s">
        <v>351</v>
      </c>
      <c r="F7" s="30" t="s">
        <v>145</v>
      </c>
      <c r="G7" s="12">
        <v>1</v>
      </c>
      <c r="H7" s="13">
        <v>24</v>
      </c>
      <c r="I7" s="31">
        <v>6000</v>
      </c>
      <c r="J7" s="14">
        <v>5110</v>
      </c>
      <c r="K7" s="15">
        <f>L7+2878+4146</f>
        <v>12134</v>
      </c>
      <c r="L7" s="15">
        <f>2255+2855</f>
        <v>5110</v>
      </c>
      <c r="M7" s="15">
        <f t="shared" si="0"/>
        <v>5110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/>
      <c r="T7" s="16"/>
      <c r="U7" s="16"/>
      <c r="V7" s="17"/>
      <c r="W7" s="5">
        <v>3</v>
      </c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ref="AD7:AD27" si="8">AC7*AB7*(1-O7)</f>
        <v>0.875</v>
      </c>
      <c r="AE7" s="36">
        <f t="shared" si="6"/>
        <v>0.35795454545454547</v>
      </c>
      <c r="AF7" s="81">
        <f t="shared" si="7"/>
        <v>2</v>
      </c>
    </row>
    <row r="8" spans="1:32" ht="27" customHeight="1">
      <c r="A8" s="107">
        <v>3</v>
      </c>
      <c r="B8" s="11" t="s">
        <v>57</v>
      </c>
      <c r="C8" s="34" t="s">
        <v>129</v>
      </c>
      <c r="D8" s="52" t="s">
        <v>115</v>
      </c>
      <c r="E8" s="53" t="s">
        <v>478</v>
      </c>
      <c r="F8" s="30" t="s">
        <v>282</v>
      </c>
      <c r="G8" s="12">
        <v>2</v>
      </c>
      <c r="H8" s="13">
        <v>24</v>
      </c>
      <c r="I8" s="7">
        <v>10000</v>
      </c>
      <c r="J8" s="14">
        <v>2938</v>
      </c>
      <c r="K8" s="15">
        <f>L8</f>
        <v>2938</v>
      </c>
      <c r="L8" s="15">
        <f>1469*2</f>
        <v>2938</v>
      </c>
      <c r="M8" s="15">
        <f t="shared" si="0"/>
        <v>2938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>
        <v>17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8"/>
        <v>0.29166666666666669</v>
      </c>
      <c r="AE8" s="36">
        <f t="shared" si="6"/>
        <v>0.35795454545454547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129</v>
      </c>
      <c r="D9" s="52" t="s">
        <v>170</v>
      </c>
      <c r="E9" s="53" t="s">
        <v>412</v>
      </c>
      <c r="F9" s="30" t="s">
        <v>282</v>
      </c>
      <c r="G9" s="12">
        <v>2</v>
      </c>
      <c r="H9" s="13">
        <v>24</v>
      </c>
      <c r="I9" s="7">
        <v>10000</v>
      </c>
      <c r="J9" s="14">
        <v>10542</v>
      </c>
      <c r="K9" s="15">
        <f>L9+6610</f>
        <v>17152</v>
      </c>
      <c r="L9" s="15">
        <f>2639*2+2632*2</f>
        <v>10542</v>
      </c>
      <c r="M9" s="15">
        <f t="shared" si="0"/>
        <v>10542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0.35795454545454547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112</v>
      </c>
      <c r="D10" s="52" t="s">
        <v>121</v>
      </c>
      <c r="E10" s="53" t="s">
        <v>259</v>
      </c>
      <c r="F10" s="30" t="s">
        <v>130</v>
      </c>
      <c r="G10" s="33">
        <v>2</v>
      </c>
      <c r="H10" s="35">
        <v>24</v>
      </c>
      <c r="I10" s="7">
        <v>56000</v>
      </c>
      <c r="J10" s="14">
        <v>10298</v>
      </c>
      <c r="K10" s="15">
        <f>L10</f>
        <v>10298</v>
      </c>
      <c r="L10" s="15">
        <f>2558*2+2591*2</f>
        <v>10298</v>
      </c>
      <c r="M10" s="15">
        <f t="shared" si="0"/>
        <v>10298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0.35795454545454547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112</v>
      </c>
      <c r="D11" s="52" t="s">
        <v>353</v>
      </c>
      <c r="E11" s="53" t="s">
        <v>352</v>
      </c>
      <c r="F11" s="30" t="s">
        <v>366</v>
      </c>
      <c r="G11" s="33">
        <v>2</v>
      </c>
      <c r="H11" s="35">
        <v>24</v>
      </c>
      <c r="I11" s="7">
        <v>13000</v>
      </c>
      <c r="J11" s="14">
        <v>8354</v>
      </c>
      <c r="K11" s="15">
        <f>L11+8446</f>
        <v>16800</v>
      </c>
      <c r="L11" s="15">
        <f>1105*2+3072*2</f>
        <v>8354</v>
      </c>
      <c r="M11" s="15">
        <f t="shared" si="0"/>
        <v>8354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/>
      <c r="T11" s="16"/>
      <c r="U11" s="16"/>
      <c r="V11" s="17"/>
      <c r="W11" s="5">
        <v>5</v>
      </c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8"/>
        <v>0.79166666666666663</v>
      </c>
      <c r="AE11" s="36">
        <f t="shared" si="6"/>
        <v>0.35795454545454547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5113</v>
      </c>
      <c r="K12" s="15">
        <f>L12+5056+5299+5142+4725+5285+5308+3502+5153+5075+5268+5338+5267+5184+5110+5267+5309+13944+5077</f>
        <v>105422</v>
      </c>
      <c r="L12" s="15">
        <f>2683+2430</f>
        <v>5113</v>
      </c>
      <c r="M12" s="15">
        <f t="shared" si="0"/>
        <v>5113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0.35795454545454547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203</v>
      </c>
      <c r="F13" s="30" t="s">
        <v>123</v>
      </c>
      <c r="G13" s="33">
        <v>4</v>
      </c>
      <c r="H13" s="35">
        <v>22</v>
      </c>
      <c r="I13" s="7">
        <v>210000</v>
      </c>
      <c r="J13" s="14">
        <v>22932</v>
      </c>
      <c r="K13" s="15">
        <f>L13+15812+27532+25338+16995+13672+26388+24942+25572</f>
        <v>199183</v>
      </c>
      <c r="L13" s="15">
        <f>3119*4+2614*4</f>
        <v>22932</v>
      </c>
      <c r="M13" s="15">
        <f t="shared" si="0"/>
        <v>22932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0.35795454545454547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173</v>
      </c>
      <c r="D14" s="52" t="s">
        <v>453</v>
      </c>
      <c r="E14" s="53" t="s">
        <v>436</v>
      </c>
      <c r="F14" s="30" t="s">
        <v>141</v>
      </c>
      <c r="G14" s="33">
        <v>1</v>
      </c>
      <c r="H14" s="35">
        <v>50</v>
      </c>
      <c r="I14" s="7">
        <v>100</v>
      </c>
      <c r="J14" s="5">
        <v>120</v>
      </c>
      <c r="K14" s="15">
        <f>L14+120</f>
        <v>120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0.35795454545454547</v>
      </c>
      <c r="AF14" s="81">
        <f t="shared" si="7"/>
        <v>9</v>
      </c>
    </row>
    <row r="15" spans="1:32" ht="27" customHeight="1">
      <c r="A15" s="107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0.35795454545454547</v>
      </c>
      <c r="AF15" s="81">
        <f t="shared" si="7"/>
        <v>10</v>
      </c>
    </row>
    <row r="16" spans="1:32" ht="27" customHeight="1">
      <c r="A16" s="107">
        <v>11</v>
      </c>
      <c r="B16" s="11" t="s">
        <v>57</v>
      </c>
      <c r="C16" s="34" t="s">
        <v>142</v>
      </c>
      <c r="D16" s="52"/>
      <c r="E16" s="53" t="s">
        <v>153</v>
      </c>
      <c r="F16" s="30" t="s">
        <v>143</v>
      </c>
      <c r="G16" s="12">
        <v>30</v>
      </c>
      <c r="H16" s="13">
        <v>24</v>
      </c>
      <c r="I16" s="7">
        <v>1500000</v>
      </c>
      <c r="J16" s="14">
        <v>272760</v>
      </c>
      <c r="K16" s="15">
        <f>L16</f>
        <v>272760</v>
      </c>
      <c r="L16" s="15">
        <f>4308*30+4784*30</f>
        <v>272760</v>
      </c>
      <c r="M16" s="15">
        <f t="shared" si="0"/>
        <v>272760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>
        <v>2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8"/>
        <v>0.91666666666666663</v>
      </c>
      <c r="AE16" s="36">
        <f t="shared" si="6"/>
        <v>0.35795454545454547</v>
      </c>
      <c r="AF16" s="81">
        <f t="shared" si="7"/>
        <v>11</v>
      </c>
    </row>
    <row r="17" spans="1:32" ht="27" customHeight="1">
      <c r="A17" s="107">
        <v>12</v>
      </c>
      <c r="B17" s="11" t="s">
        <v>57</v>
      </c>
      <c r="C17" s="34" t="s">
        <v>116</v>
      </c>
      <c r="D17" s="52" t="s">
        <v>146</v>
      </c>
      <c r="E17" s="53" t="s">
        <v>293</v>
      </c>
      <c r="F17" s="30" t="s">
        <v>278</v>
      </c>
      <c r="G17" s="12">
        <v>1</v>
      </c>
      <c r="H17" s="13">
        <v>24</v>
      </c>
      <c r="I17" s="7">
        <v>6000</v>
      </c>
      <c r="J17" s="14">
        <v>5395</v>
      </c>
      <c r="K17" s="15">
        <f>L17+5785+5395</f>
        <v>11180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0.35795454545454547</v>
      </c>
      <c r="AF17" s="81">
        <f t="shared" si="7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289</v>
      </c>
      <c r="F18" s="30" t="s">
        <v>123</v>
      </c>
      <c r="G18" s="12">
        <v>2</v>
      </c>
      <c r="H18" s="13">
        <v>22</v>
      </c>
      <c r="I18" s="31">
        <v>73000</v>
      </c>
      <c r="J18" s="5">
        <v>200</v>
      </c>
      <c r="K18" s="15">
        <f>L18</f>
        <v>200</v>
      </c>
      <c r="L18" s="15">
        <f>200</f>
        <v>200</v>
      </c>
      <c r="M18" s="15">
        <f t="shared" si="0"/>
        <v>200</v>
      </c>
      <c r="N18" s="15">
        <v>0</v>
      </c>
      <c r="O18" s="58">
        <f t="shared" si="1"/>
        <v>0</v>
      </c>
      <c r="P18" s="39">
        <f t="shared" si="2"/>
        <v>2</v>
      </c>
      <c r="Q18" s="40">
        <f t="shared" si="3"/>
        <v>22</v>
      </c>
      <c r="R18" s="7"/>
      <c r="S18" s="6">
        <v>22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8.3333333333333329E-2</v>
      </c>
      <c r="AD18" s="10">
        <f t="shared" si="8"/>
        <v>8.3333333333333329E-2</v>
      </c>
      <c r="AE18" s="36">
        <f t="shared" si="6"/>
        <v>0.35795454545454547</v>
      </c>
      <c r="AF18" s="81">
        <f t="shared" si="7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480000</v>
      </c>
      <c r="J19" s="14">
        <v>21012</v>
      </c>
      <c r="K19" s="15">
        <f>L19+16424+3460+8466+14048+14809+10420+6468+20028+25064+24256+18744+23224+19112+21656+19860+24856+20332+13908+23312+22632+21852+23044+17040+19056+16611</f>
        <v>469694</v>
      </c>
      <c r="L19" s="15">
        <f>2313*4+2940*4</f>
        <v>21012</v>
      </c>
      <c r="M19" s="15">
        <f t="shared" si="0"/>
        <v>21012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8"/>
        <v>0.91666666666666663</v>
      </c>
      <c r="AE19" s="36">
        <f t="shared" si="6"/>
        <v>0.35795454545454547</v>
      </c>
      <c r="AF19" s="81">
        <f t="shared" si="7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8"/>
        <v>0</v>
      </c>
      <c r="AE20" s="36">
        <f t="shared" si="6"/>
        <v>0.35795454545454547</v>
      </c>
      <c r="AF20" s="81">
        <f t="shared" si="7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159</v>
      </c>
      <c r="F21" s="12" t="s">
        <v>114</v>
      </c>
      <c r="G21" s="12">
        <v>3</v>
      </c>
      <c r="H21" s="35">
        <v>20</v>
      </c>
      <c r="I21" s="7">
        <v>300000</v>
      </c>
      <c r="J21" s="14">
        <v>2532</v>
      </c>
      <c r="K21" s="15">
        <f>L21+30164+39608+36320+8901+45027+47694+40014+19857+14847+2532</f>
        <v>284964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0.35795454545454547</v>
      </c>
      <c r="AF21" s="81">
        <f t="shared" si="7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0.35795454545454547</v>
      </c>
      <c r="AF22" s="81">
        <f t="shared" si="7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0.35795454545454547</v>
      </c>
      <c r="AF23" s="81">
        <f t="shared" si="7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0.35795454545454547</v>
      </c>
      <c r="AF24" s="81">
        <f t="shared" si="7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0.35795454545454547</v>
      </c>
      <c r="AF25" s="81">
        <f t="shared" si="7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0.35795454545454547</v>
      </c>
      <c r="AF26" s="81">
        <f t="shared" si="7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0.35795454545454547</v>
      </c>
      <c r="AF27" s="81">
        <f t="shared" si="7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3498300</v>
      </c>
      <c r="J28" s="19">
        <f t="shared" si="10"/>
        <v>498536</v>
      </c>
      <c r="K28" s="20">
        <f t="shared" si="10"/>
        <v>2061866</v>
      </c>
      <c r="L28" s="21">
        <f t="shared" si="10"/>
        <v>359259</v>
      </c>
      <c r="M28" s="20">
        <f t="shared" si="10"/>
        <v>359259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189</v>
      </c>
      <c r="Q28" s="43">
        <f t="shared" si="11"/>
        <v>339</v>
      </c>
      <c r="R28" s="23">
        <f t="shared" si="11"/>
        <v>24</v>
      </c>
      <c r="S28" s="24">
        <f t="shared" si="11"/>
        <v>43</v>
      </c>
      <c r="T28" s="24">
        <f t="shared" si="11"/>
        <v>0</v>
      </c>
      <c r="U28" s="24">
        <f t="shared" si="11"/>
        <v>0</v>
      </c>
      <c r="V28" s="25">
        <f t="shared" si="11"/>
        <v>24</v>
      </c>
      <c r="W28" s="26">
        <f t="shared" si="11"/>
        <v>224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24</v>
      </c>
      <c r="AB28" s="28">
        <f>AVERAGE(AB6:AB27)</f>
        <v>0.5</v>
      </c>
      <c r="AC28" s="4">
        <f>AVERAGE(AC6:AC27)</f>
        <v>0.35795454545454547</v>
      </c>
      <c r="AD28" s="4">
        <f>AVERAGE(AD6:AD27)</f>
        <v>0.35795454545454547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479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483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238" t="s">
        <v>46</v>
      </c>
      <c r="D57" s="238" t="s">
        <v>47</v>
      </c>
      <c r="E57" s="238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238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112</v>
      </c>
      <c r="B58" s="411"/>
      <c r="C58" s="240" t="s">
        <v>253</v>
      </c>
      <c r="D58" s="240" t="s">
        <v>115</v>
      </c>
      <c r="E58" s="240" t="s">
        <v>289</v>
      </c>
      <c r="F58" s="412" t="s">
        <v>480</v>
      </c>
      <c r="G58" s="413"/>
      <c r="H58" s="413"/>
      <c r="I58" s="413"/>
      <c r="J58" s="413"/>
      <c r="K58" s="413"/>
      <c r="L58" s="413"/>
      <c r="M58" s="414"/>
      <c r="N58" s="239" t="s">
        <v>112</v>
      </c>
      <c r="O58" s="246" t="s">
        <v>253</v>
      </c>
      <c r="P58" s="415" t="s">
        <v>115</v>
      </c>
      <c r="Q58" s="416"/>
      <c r="R58" s="415" t="s">
        <v>289</v>
      </c>
      <c r="S58" s="417"/>
      <c r="T58" s="417"/>
      <c r="U58" s="416"/>
      <c r="V58" s="412" t="s">
        <v>220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129</v>
      </c>
      <c r="B59" s="411"/>
      <c r="C59" s="240" t="s">
        <v>151</v>
      </c>
      <c r="D59" s="240" t="s">
        <v>115</v>
      </c>
      <c r="E59" s="240" t="s">
        <v>478</v>
      </c>
      <c r="F59" s="412" t="s">
        <v>481</v>
      </c>
      <c r="G59" s="413"/>
      <c r="H59" s="413"/>
      <c r="I59" s="413"/>
      <c r="J59" s="413"/>
      <c r="K59" s="413"/>
      <c r="L59" s="413"/>
      <c r="M59" s="414"/>
      <c r="N59" s="239" t="s">
        <v>129</v>
      </c>
      <c r="O59" s="246" t="s">
        <v>151</v>
      </c>
      <c r="P59" s="415" t="s">
        <v>115</v>
      </c>
      <c r="Q59" s="416"/>
      <c r="R59" s="415" t="s">
        <v>478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240" t="s">
        <v>181</v>
      </c>
      <c r="D60" s="240" t="s">
        <v>121</v>
      </c>
      <c r="E60" s="240" t="s">
        <v>259</v>
      </c>
      <c r="F60" s="412" t="s">
        <v>482</v>
      </c>
      <c r="G60" s="413"/>
      <c r="H60" s="413"/>
      <c r="I60" s="413"/>
      <c r="J60" s="413"/>
      <c r="K60" s="413"/>
      <c r="L60" s="413"/>
      <c r="M60" s="414"/>
      <c r="N60" s="239" t="s">
        <v>112</v>
      </c>
      <c r="O60" s="246" t="s">
        <v>311</v>
      </c>
      <c r="P60" s="415" t="s">
        <v>146</v>
      </c>
      <c r="Q60" s="416"/>
      <c r="R60" s="415" t="s">
        <v>484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142</v>
      </c>
      <c r="B61" s="411"/>
      <c r="C61" s="240" t="s">
        <v>200</v>
      </c>
      <c r="D61" s="240"/>
      <c r="E61" s="240" t="s">
        <v>153</v>
      </c>
      <c r="F61" s="412" t="s">
        <v>482</v>
      </c>
      <c r="G61" s="413"/>
      <c r="H61" s="413"/>
      <c r="I61" s="413"/>
      <c r="J61" s="413"/>
      <c r="K61" s="413"/>
      <c r="L61" s="413"/>
      <c r="M61" s="414"/>
      <c r="N61" s="239" t="s">
        <v>129</v>
      </c>
      <c r="O61" s="246" t="s">
        <v>185</v>
      </c>
      <c r="P61" s="415"/>
      <c r="Q61" s="416"/>
      <c r="R61" s="415" t="s">
        <v>485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240" t="s">
        <v>253</v>
      </c>
      <c r="D62" s="240" t="s">
        <v>128</v>
      </c>
      <c r="E62" s="240" t="s">
        <v>158</v>
      </c>
      <c r="F62" s="412" t="s">
        <v>445</v>
      </c>
      <c r="G62" s="413"/>
      <c r="H62" s="413"/>
      <c r="I62" s="413"/>
      <c r="J62" s="413"/>
      <c r="K62" s="413"/>
      <c r="L62" s="413"/>
      <c r="M62" s="414"/>
      <c r="N62" s="239" t="s">
        <v>112</v>
      </c>
      <c r="O62" s="246" t="s">
        <v>205</v>
      </c>
      <c r="P62" s="415" t="s">
        <v>154</v>
      </c>
      <c r="Q62" s="416"/>
      <c r="R62" s="415" t="s">
        <v>486</v>
      </c>
      <c r="S62" s="417"/>
      <c r="T62" s="417"/>
      <c r="U62" s="416"/>
      <c r="V62" s="412" t="s">
        <v>122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40" t="s">
        <v>205</v>
      </c>
      <c r="D63" s="240" t="s">
        <v>154</v>
      </c>
      <c r="E63" s="240" t="s">
        <v>203</v>
      </c>
      <c r="F63" s="412" t="s">
        <v>445</v>
      </c>
      <c r="G63" s="413"/>
      <c r="H63" s="413"/>
      <c r="I63" s="413"/>
      <c r="J63" s="413"/>
      <c r="K63" s="413"/>
      <c r="L63" s="413"/>
      <c r="M63" s="414"/>
      <c r="N63" s="239"/>
      <c r="O63" s="246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240"/>
      <c r="D64" s="240"/>
      <c r="E64" s="240"/>
      <c r="F64" s="412"/>
      <c r="G64" s="413"/>
      <c r="H64" s="413"/>
      <c r="I64" s="413"/>
      <c r="J64" s="413"/>
      <c r="K64" s="413"/>
      <c r="L64" s="413"/>
      <c r="M64" s="414"/>
      <c r="N64" s="239"/>
      <c r="O64" s="246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243"/>
      <c r="D65" s="243"/>
      <c r="E65" s="240"/>
      <c r="F65" s="412"/>
      <c r="G65" s="413"/>
      <c r="H65" s="413"/>
      <c r="I65" s="413"/>
      <c r="J65" s="413"/>
      <c r="K65" s="413"/>
      <c r="L65" s="413"/>
      <c r="M65" s="414"/>
      <c r="N65" s="239"/>
      <c r="O65" s="246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43"/>
      <c r="D66" s="243"/>
      <c r="E66" s="240"/>
      <c r="F66" s="412"/>
      <c r="G66" s="413"/>
      <c r="H66" s="413"/>
      <c r="I66" s="413"/>
      <c r="J66" s="413"/>
      <c r="K66" s="413"/>
      <c r="L66" s="413"/>
      <c r="M66" s="414"/>
      <c r="N66" s="239"/>
      <c r="O66" s="246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241"/>
      <c r="D67" s="242"/>
      <c r="E67" s="241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487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244" t="s">
        <v>2</v>
      </c>
      <c r="D69" s="244" t="s">
        <v>37</v>
      </c>
      <c r="E69" s="244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244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112</v>
      </c>
      <c r="D70" s="248"/>
      <c r="E70" s="245" t="s">
        <v>115</v>
      </c>
      <c r="F70" s="437" t="s">
        <v>438</v>
      </c>
      <c r="G70" s="438"/>
      <c r="H70" s="438"/>
      <c r="I70" s="438"/>
      <c r="J70" s="438"/>
      <c r="K70" s="438" t="s">
        <v>145</v>
      </c>
      <c r="L70" s="438"/>
      <c r="M70" s="51" t="s">
        <v>184</v>
      </c>
      <c r="N70" s="439" t="s">
        <v>152</v>
      </c>
      <c r="O70" s="439"/>
      <c r="P70" s="440">
        <v>25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112</v>
      </c>
      <c r="D71" s="248"/>
      <c r="E71" s="245" t="s">
        <v>115</v>
      </c>
      <c r="F71" s="437" t="s">
        <v>321</v>
      </c>
      <c r="G71" s="438"/>
      <c r="H71" s="438"/>
      <c r="I71" s="438"/>
      <c r="J71" s="438"/>
      <c r="K71" s="438" t="s">
        <v>322</v>
      </c>
      <c r="L71" s="438"/>
      <c r="M71" s="51" t="s">
        <v>184</v>
      </c>
      <c r="N71" s="439" t="s">
        <v>150</v>
      </c>
      <c r="O71" s="439"/>
      <c r="P71" s="440">
        <v>20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173</v>
      </c>
      <c r="D72" s="248"/>
      <c r="E72" s="245" t="s">
        <v>115</v>
      </c>
      <c r="F72" s="437" t="s">
        <v>488</v>
      </c>
      <c r="G72" s="438"/>
      <c r="H72" s="438"/>
      <c r="I72" s="438"/>
      <c r="J72" s="438"/>
      <c r="K72" s="438" t="s">
        <v>145</v>
      </c>
      <c r="L72" s="438"/>
      <c r="M72" s="51" t="s">
        <v>210</v>
      </c>
      <c r="N72" s="439" t="s">
        <v>296</v>
      </c>
      <c r="O72" s="439"/>
      <c r="P72" s="440">
        <v>30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 t="s">
        <v>112</v>
      </c>
      <c r="D73" s="248"/>
      <c r="E73" s="245" t="s">
        <v>146</v>
      </c>
      <c r="F73" s="443" t="s">
        <v>489</v>
      </c>
      <c r="G73" s="444"/>
      <c r="H73" s="444"/>
      <c r="I73" s="444"/>
      <c r="J73" s="445"/>
      <c r="K73" s="438" t="s">
        <v>490</v>
      </c>
      <c r="L73" s="438"/>
      <c r="M73" s="51" t="s">
        <v>213</v>
      </c>
      <c r="N73" s="439" t="s">
        <v>296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248"/>
      <c r="E74" s="245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248"/>
      <c r="E75" s="245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248"/>
      <c r="E76" s="245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248"/>
      <c r="E77" s="245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248"/>
      <c r="E78" s="245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248"/>
      <c r="E79" s="245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491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247" t="s">
        <v>2</v>
      </c>
      <c r="D81" s="247" t="s">
        <v>37</v>
      </c>
      <c r="E81" s="247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249"/>
      <c r="D82" s="249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248"/>
      <c r="D83" s="248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248"/>
      <c r="D84" s="248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248"/>
      <c r="D85" s="248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248"/>
      <c r="D86" s="248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248"/>
      <c r="D87" s="248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248"/>
      <c r="D88" s="248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492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3946-F4AC-42DF-9747-11ED75E183CB}">
  <sheetPr>
    <pageSetUpPr fitToPage="1"/>
  </sheetPr>
  <dimension ref="A1:AF93"/>
  <sheetViews>
    <sheetView view="pageBreakPreview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493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37" t="s">
        <v>17</v>
      </c>
      <c r="L5" s="237" t="s">
        <v>18</v>
      </c>
      <c r="M5" s="237" t="s">
        <v>19</v>
      </c>
      <c r="N5" s="2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L6+2794</f>
        <v>2794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0.38257575757575757</v>
      </c>
      <c r="AF6" s="81">
        <f t="shared" ref="AF6:AF27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484</v>
      </c>
      <c r="F7" s="30" t="s">
        <v>148</v>
      </c>
      <c r="G7" s="12">
        <v>1</v>
      </c>
      <c r="H7" s="13">
        <v>24</v>
      </c>
      <c r="I7" s="31">
        <v>2000</v>
      </c>
      <c r="J7" s="14">
        <v>3406</v>
      </c>
      <c r="K7" s="15">
        <f>L7</f>
        <v>3406</v>
      </c>
      <c r="L7" s="15">
        <f>1724+1682</f>
        <v>3406</v>
      </c>
      <c r="M7" s="15">
        <f t="shared" si="0"/>
        <v>3406</v>
      </c>
      <c r="N7" s="15">
        <v>0</v>
      </c>
      <c r="O7" s="58">
        <f t="shared" si="1"/>
        <v>0</v>
      </c>
      <c r="P7" s="39">
        <f t="shared" si="2"/>
        <v>17</v>
      </c>
      <c r="Q7" s="40">
        <f t="shared" si="3"/>
        <v>7</v>
      </c>
      <c r="R7" s="7"/>
      <c r="S7" s="6">
        <v>4</v>
      </c>
      <c r="T7" s="16">
        <v>3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0.70833333333333337</v>
      </c>
      <c r="AD7" s="10">
        <f t="shared" ref="AD7:AD27" si="8">AC7*AB7*(1-O7)</f>
        <v>0.70833333333333337</v>
      </c>
      <c r="AE7" s="36">
        <f t="shared" si="6"/>
        <v>0.38257575757575757</v>
      </c>
      <c r="AF7" s="81">
        <f t="shared" si="7"/>
        <v>2</v>
      </c>
    </row>
    <row r="8" spans="1:32" ht="27" customHeight="1">
      <c r="A8" s="107">
        <v>3</v>
      </c>
      <c r="B8" s="11" t="s">
        <v>57</v>
      </c>
      <c r="C8" s="34" t="s">
        <v>129</v>
      </c>
      <c r="D8" s="52" t="s">
        <v>115</v>
      </c>
      <c r="E8" s="53" t="s">
        <v>478</v>
      </c>
      <c r="F8" s="30" t="s">
        <v>282</v>
      </c>
      <c r="G8" s="12">
        <v>2</v>
      </c>
      <c r="H8" s="13">
        <v>24</v>
      </c>
      <c r="I8" s="7">
        <v>10000</v>
      </c>
      <c r="J8" s="14">
        <v>1906</v>
      </c>
      <c r="K8" s="15">
        <f>L8+2938</f>
        <v>4844</v>
      </c>
      <c r="L8" s="15">
        <f>953*2</f>
        <v>1906</v>
      </c>
      <c r="M8" s="15">
        <f t="shared" si="0"/>
        <v>1906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>
        <v>19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8"/>
        <v>0.20833333333333334</v>
      </c>
      <c r="AE8" s="36">
        <f t="shared" si="6"/>
        <v>0.38257575757575757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129</v>
      </c>
      <c r="D9" s="52" t="s">
        <v>154</v>
      </c>
      <c r="E9" s="53" t="s">
        <v>416</v>
      </c>
      <c r="F9" s="30" t="s">
        <v>282</v>
      </c>
      <c r="G9" s="12">
        <v>2</v>
      </c>
      <c r="H9" s="13">
        <v>24</v>
      </c>
      <c r="I9" s="7">
        <v>10000</v>
      </c>
      <c r="J9" s="14">
        <v>8974</v>
      </c>
      <c r="K9" s="15">
        <f>L9</f>
        <v>8974</v>
      </c>
      <c r="L9" s="15">
        <f>1603*2+2884*2</f>
        <v>8974</v>
      </c>
      <c r="M9" s="15">
        <f t="shared" si="0"/>
        <v>8974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8"/>
        <v>0.83333333333333337</v>
      </c>
      <c r="AE9" s="36">
        <f t="shared" si="6"/>
        <v>0.38257575757575757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112</v>
      </c>
      <c r="D10" s="52" t="s">
        <v>121</v>
      </c>
      <c r="E10" s="53" t="s">
        <v>259</v>
      </c>
      <c r="F10" s="30" t="s">
        <v>130</v>
      </c>
      <c r="G10" s="33">
        <v>2</v>
      </c>
      <c r="H10" s="35">
        <v>24</v>
      </c>
      <c r="I10" s="7">
        <v>56000</v>
      </c>
      <c r="J10" s="14">
        <v>11534</v>
      </c>
      <c r="K10" s="15">
        <f>L10+10298</f>
        <v>21832</v>
      </c>
      <c r="L10" s="15">
        <f>2760*2+3007*2</f>
        <v>11534</v>
      </c>
      <c r="M10" s="15">
        <f t="shared" si="0"/>
        <v>11534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0.38257575757575757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129</v>
      </c>
      <c r="D11" s="52"/>
      <c r="E11" s="53" t="s">
        <v>485</v>
      </c>
      <c r="F11" s="30" t="s">
        <v>124</v>
      </c>
      <c r="G11" s="33">
        <v>4</v>
      </c>
      <c r="H11" s="35">
        <v>24</v>
      </c>
      <c r="I11" s="7">
        <v>100000</v>
      </c>
      <c r="J11" s="14">
        <v>28416</v>
      </c>
      <c r="K11" s="15">
        <f>L11</f>
        <v>28416</v>
      </c>
      <c r="L11" s="15">
        <f>3180*4+3924*4</f>
        <v>28416</v>
      </c>
      <c r="M11" s="15">
        <f t="shared" si="0"/>
        <v>28416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0.38257575757575757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5283</v>
      </c>
      <c r="K12" s="15">
        <f>L12+5056+5299+5142+4725+5285+5308+3502+5153+5075+5268+5338+5267+5184+5110+5267+5309+13944+5077+5113</f>
        <v>110705</v>
      </c>
      <c r="L12" s="15">
        <f>2620+2663</f>
        <v>5283</v>
      </c>
      <c r="M12" s="15">
        <f t="shared" si="0"/>
        <v>5283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0.38257575757575757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486</v>
      </c>
      <c r="F13" s="30" t="s">
        <v>123</v>
      </c>
      <c r="G13" s="33">
        <v>1</v>
      </c>
      <c r="H13" s="35">
        <v>22</v>
      </c>
      <c r="I13" s="7">
        <v>32000</v>
      </c>
      <c r="J13" s="14">
        <v>6014</v>
      </c>
      <c r="K13" s="15">
        <f>L13</f>
        <v>6014</v>
      </c>
      <c r="L13" s="15">
        <f>2881+3133</f>
        <v>6014</v>
      </c>
      <c r="M13" s="15">
        <f t="shared" si="0"/>
        <v>6014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0.38257575757575757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173</v>
      </c>
      <c r="D14" s="52" t="s">
        <v>453</v>
      </c>
      <c r="E14" s="53" t="s">
        <v>436</v>
      </c>
      <c r="F14" s="30" t="s">
        <v>141</v>
      </c>
      <c r="G14" s="33">
        <v>1</v>
      </c>
      <c r="H14" s="35">
        <v>50</v>
      </c>
      <c r="I14" s="7">
        <v>100</v>
      </c>
      <c r="J14" s="5">
        <v>120</v>
      </c>
      <c r="K14" s="15">
        <f>L14+120</f>
        <v>120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0.38257575757575757</v>
      </c>
      <c r="AF14" s="81">
        <f t="shared" si="7"/>
        <v>9</v>
      </c>
    </row>
    <row r="15" spans="1:32" ht="27" customHeight="1">
      <c r="A15" s="107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0.38257575757575757</v>
      </c>
      <c r="AF15" s="81">
        <f t="shared" si="7"/>
        <v>10</v>
      </c>
    </row>
    <row r="16" spans="1:32" ht="27" customHeight="1">
      <c r="A16" s="107">
        <v>11</v>
      </c>
      <c r="B16" s="11" t="s">
        <v>57</v>
      </c>
      <c r="C16" s="34" t="s">
        <v>142</v>
      </c>
      <c r="D16" s="52"/>
      <c r="E16" s="53" t="s">
        <v>153</v>
      </c>
      <c r="F16" s="30" t="s">
        <v>143</v>
      </c>
      <c r="G16" s="12">
        <v>30</v>
      </c>
      <c r="H16" s="13">
        <v>24</v>
      </c>
      <c r="I16" s="7">
        <v>1500000</v>
      </c>
      <c r="J16" s="14">
        <v>336570</v>
      </c>
      <c r="K16" s="15">
        <f>L16+272760</f>
        <v>609330</v>
      </c>
      <c r="L16" s="15">
        <f>5478*30+5741*30</f>
        <v>336570</v>
      </c>
      <c r="M16" s="15">
        <f t="shared" si="0"/>
        <v>336570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0.38257575757575757</v>
      </c>
      <c r="AF16" s="81">
        <f t="shared" si="7"/>
        <v>11</v>
      </c>
    </row>
    <row r="17" spans="1:32" ht="27" customHeight="1">
      <c r="A17" s="107">
        <v>12</v>
      </c>
      <c r="B17" s="11" t="s">
        <v>57</v>
      </c>
      <c r="C17" s="34" t="s">
        <v>116</v>
      </c>
      <c r="D17" s="52" t="s">
        <v>146</v>
      </c>
      <c r="E17" s="53" t="s">
        <v>293</v>
      </c>
      <c r="F17" s="30" t="s">
        <v>278</v>
      </c>
      <c r="G17" s="12">
        <v>1</v>
      </c>
      <c r="H17" s="13">
        <v>24</v>
      </c>
      <c r="I17" s="7">
        <v>6000</v>
      </c>
      <c r="J17" s="14">
        <v>5395</v>
      </c>
      <c r="K17" s="15">
        <f>L17+5785+5395</f>
        <v>11180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0.38257575757575757</v>
      </c>
      <c r="AF17" s="81">
        <f t="shared" si="7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115</v>
      </c>
      <c r="E18" s="53" t="s">
        <v>289</v>
      </c>
      <c r="F18" s="30" t="s">
        <v>123</v>
      </c>
      <c r="G18" s="12">
        <v>2</v>
      </c>
      <c r="H18" s="13">
        <v>22</v>
      </c>
      <c r="I18" s="31">
        <v>73000</v>
      </c>
      <c r="J18" s="5">
        <v>700</v>
      </c>
      <c r="K18" s="15">
        <f>L18+200</f>
        <v>900</v>
      </c>
      <c r="L18" s="15">
        <f>350*2</f>
        <v>700</v>
      </c>
      <c r="M18" s="15">
        <f t="shared" si="0"/>
        <v>700</v>
      </c>
      <c r="N18" s="15">
        <v>0</v>
      </c>
      <c r="O18" s="58">
        <f t="shared" si="1"/>
        <v>0</v>
      </c>
      <c r="P18" s="39">
        <f t="shared" si="2"/>
        <v>2</v>
      </c>
      <c r="Q18" s="40">
        <f t="shared" si="3"/>
        <v>22</v>
      </c>
      <c r="R18" s="7"/>
      <c r="S18" s="6">
        <v>22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8.3333333333333329E-2</v>
      </c>
      <c r="AD18" s="10">
        <f t="shared" si="8"/>
        <v>8.3333333333333329E-2</v>
      </c>
      <c r="AE18" s="36">
        <f t="shared" si="6"/>
        <v>0.38257575757575757</v>
      </c>
      <c r="AF18" s="81">
        <f t="shared" si="7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480000</v>
      </c>
      <c r="J19" s="14">
        <v>23908</v>
      </c>
      <c r="K19" s="15">
        <f>L19+16424+3460+8466+14048+14809+10420+6468+20028+25064+24256+18744+23224+19112+21656+19860+24856+20332+13908+23312+22632+21852+23044+17040+19056+16611+21012</f>
        <v>493602</v>
      </c>
      <c r="L19" s="15">
        <f>2921*4+2854*4+202*4</f>
        <v>23908</v>
      </c>
      <c r="M19" s="15">
        <f t="shared" si="0"/>
        <v>23908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8"/>
        <v>1</v>
      </c>
      <c r="AE19" s="36">
        <f t="shared" si="6"/>
        <v>0.38257575757575757</v>
      </c>
      <c r="AF19" s="81">
        <f t="shared" si="7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8"/>
        <v>0</v>
      </c>
      <c r="AE20" s="36">
        <f t="shared" si="6"/>
        <v>0.38257575757575757</v>
      </c>
      <c r="AF20" s="81">
        <f t="shared" si="7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494</v>
      </c>
      <c r="F21" s="12" t="s">
        <v>114</v>
      </c>
      <c r="G21" s="12">
        <v>4</v>
      </c>
      <c r="H21" s="35">
        <v>20</v>
      </c>
      <c r="I21" s="7">
        <v>2000000</v>
      </c>
      <c r="J21" s="14">
        <v>34748</v>
      </c>
      <c r="K21" s="15">
        <f>L21</f>
        <v>34748</v>
      </c>
      <c r="L21" s="15">
        <f>8687*4</f>
        <v>34748</v>
      </c>
      <c r="M21" s="15">
        <f t="shared" si="0"/>
        <v>34748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>
        <v>10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8"/>
        <v>0.58333333333333337</v>
      </c>
      <c r="AE21" s="36">
        <f t="shared" si="6"/>
        <v>0.38257575757575757</v>
      </c>
      <c r="AF21" s="81">
        <f t="shared" si="7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0.38257575757575757</v>
      </c>
      <c r="AF22" s="81">
        <f t="shared" si="7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0.38257575757575757</v>
      </c>
      <c r="AF23" s="81">
        <f t="shared" si="7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0.38257575757575757</v>
      </c>
      <c r="AF24" s="81">
        <f t="shared" si="7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0.38257575757575757</v>
      </c>
      <c r="AF25" s="81">
        <f t="shared" si="7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0.38257575757575757</v>
      </c>
      <c r="AF26" s="81">
        <f t="shared" si="7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0.38257575757575757</v>
      </c>
      <c r="AF27" s="81">
        <f t="shared" si="7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5103300</v>
      </c>
      <c r="J28" s="19">
        <f t="shared" si="10"/>
        <v>598204</v>
      </c>
      <c r="K28" s="20">
        <f t="shared" si="10"/>
        <v>1993092</v>
      </c>
      <c r="L28" s="21">
        <f t="shared" si="10"/>
        <v>461459</v>
      </c>
      <c r="M28" s="20">
        <f t="shared" si="10"/>
        <v>461459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202</v>
      </c>
      <c r="Q28" s="43">
        <f t="shared" si="11"/>
        <v>326</v>
      </c>
      <c r="R28" s="23">
        <f t="shared" si="11"/>
        <v>24</v>
      </c>
      <c r="S28" s="24">
        <f t="shared" si="11"/>
        <v>59</v>
      </c>
      <c r="T28" s="24">
        <f t="shared" si="11"/>
        <v>3</v>
      </c>
      <c r="U28" s="24">
        <f t="shared" si="11"/>
        <v>0</v>
      </c>
      <c r="V28" s="25">
        <f t="shared" si="11"/>
        <v>0</v>
      </c>
      <c r="W28" s="26">
        <f t="shared" si="11"/>
        <v>216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24</v>
      </c>
      <c r="AB28" s="28">
        <f>AVERAGE(AB6:AB27)</f>
        <v>0.55000000000000004</v>
      </c>
      <c r="AC28" s="4">
        <f>AVERAGE(AC6:AC27)</f>
        <v>0.38257575757575757</v>
      </c>
      <c r="AD28" s="4">
        <f>AVERAGE(AD6:AD27)</f>
        <v>0.38257575757575757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495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509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238" t="s">
        <v>46</v>
      </c>
      <c r="D57" s="238" t="s">
        <v>47</v>
      </c>
      <c r="E57" s="238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238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112</v>
      </c>
      <c r="B58" s="411"/>
      <c r="C58" s="240" t="s">
        <v>253</v>
      </c>
      <c r="D58" s="240" t="s">
        <v>115</v>
      </c>
      <c r="E58" s="240" t="s">
        <v>289</v>
      </c>
      <c r="F58" s="412" t="s">
        <v>343</v>
      </c>
      <c r="G58" s="413"/>
      <c r="H58" s="413"/>
      <c r="I58" s="413"/>
      <c r="J58" s="413"/>
      <c r="K58" s="413"/>
      <c r="L58" s="413"/>
      <c r="M58" s="414"/>
      <c r="N58" s="239" t="s">
        <v>112</v>
      </c>
      <c r="O58" s="246" t="s">
        <v>151</v>
      </c>
      <c r="P58" s="415" t="s">
        <v>115</v>
      </c>
      <c r="Q58" s="416"/>
      <c r="R58" s="415" t="s">
        <v>289</v>
      </c>
      <c r="S58" s="417"/>
      <c r="T58" s="417"/>
      <c r="U58" s="416"/>
      <c r="V58" s="412" t="s">
        <v>220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129</v>
      </c>
      <c r="B59" s="411"/>
      <c r="C59" s="240" t="s">
        <v>151</v>
      </c>
      <c r="D59" s="240" t="s">
        <v>115</v>
      </c>
      <c r="E59" s="240" t="s">
        <v>478</v>
      </c>
      <c r="F59" s="412" t="s">
        <v>496</v>
      </c>
      <c r="G59" s="413"/>
      <c r="H59" s="413"/>
      <c r="I59" s="413"/>
      <c r="J59" s="413"/>
      <c r="K59" s="413"/>
      <c r="L59" s="413"/>
      <c r="M59" s="414"/>
      <c r="N59" s="239" t="s">
        <v>129</v>
      </c>
      <c r="O59" s="246" t="s">
        <v>253</v>
      </c>
      <c r="P59" s="415" t="s">
        <v>115</v>
      </c>
      <c r="Q59" s="416"/>
      <c r="R59" s="415" t="s">
        <v>478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257" t="s">
        <v>205</v>
      </c>
      <c r="D60" s="257" t="s">
        <v>154</v>
      </c>
      <c r="E60" s="257" t="s">
        <v>486</v>
      </c>
      <c r="F60" s="412" t="s">
        <v>497</v>
      </c>
      <c r="G60" s="413"/>
      <c r="H60" s="413"/>
      <c r="I60" s="413"/>
      <c r="J60" s="413"/>
      <c r="K60" s="413"/>
      <c r="L60" s="413"/>
      <c r="M60" s="414"/>
      <c r="N60" s="239" t="s">
        <v>129</v>
      </c>
      <c r="O60" s="246" t="s">
        <v>511</v>
      </c>
      <c r="P60" s="415"/>
      <c r="Q60" s="416"/>
      <c r="R60" s="415" t="s">
        <v>510</v>
      </c>
      <c r="S60" s="417"/>
      <c r="T60" s="417"/>
      <c r="U60" s="416"/>
      <c r="V60" s="412" t="s">
        <v>497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112</v>
      </c>
      <c r="B61" s="411"/>
      <c r="C61" s="240" t="s">
        <v>500</v>
      </c>
      <c r="D61" s="240" t="s">
        <v>501</v>
      </c>
      <c r="E61" s="240" t="s">
        <v>498</v>
      </c>
      <c r="F61" s="412" t="s">
        <v>499</v>
      </c>
      <c r="G61" s="413"/>
      <c r="H61" s="413"/>
      <c r="I61" s="413"/>
      <c r="J61" s="413"/>
      <c r="K61" s="413"/>
      <c r="L61" s="413"/>
      <c r="M61" s="414"/>
      <c r="N61" s="239" t="s">
        <v>129</v>
      </c>
      <c r="O61" s="246" t="s">
        <v>513</v>
      </c>
      <c r="P61" s="415" t="s">
        <v>514</v>
      </c>
      <c r="Q61" s="416"/>
      <c r="R61" s="415" t="s">
        <v>512</v>
      </c>
      <c r="S61" s="417"/>
      <c r="T61" s="417"/>
      <c r="U61" s="416"/>
      <c r="V61" s="412" t="s">
        <v>497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129</v>
      </c>
      <c r="B62" s="411"/>
      <c r="C62" s="240" t="s">
        <v>503</v>
      </c>
      <c r="D62" s="240" t="s">
        <v>154</v>
      </c>
      <c r="E62" s="240" t="s">
        <v>502</v>
      </c>
      <c r="F62" s="412" t="s">
        <v>220</v>
      </c>
      <c r="G62" s="413"/>
      <c r="H62" s="413"/>
      <c r="I62" s="413"/>
      <c r="J62" s="413"/>
      <c r="K62" s="413"/>
      <c r="L62" s="413"/>
      <c r="M62" s="414"/>
      <c r="N62" s="239"/>
      <c r="O62" s="246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129</v>
      </c>
      <c r="B63" s="411"/>
      <c r="C63" s="240" t="s">
        <v>505</v>
      </c>
      <c r="D63" s="240"/>
      <c r="E63" s="240" t="s">
        <v>504</v>
      </c>
      <c r="F63" s="412" t="s">
        <v>497</v>
      </c>
      <c r="G63" s="413"/>
      <c r="H63" s="413"/>
      <c r="I63" s="413"/>
      <c r="J63" s="413"/>
      <c r="K63" s="413"/>
      <c r="L63" s="413"/>
      <c r="M63" s="414"/>
      <c r="N63" s="239"/>
      <c r="O63" s="246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507</v>
      </c>
      <c r="B64" s="411"/>
      <c r="C64" s="240" t="s">
        <v>508</v>
      </c>
      <c r="D64" s="240"/>
      <c r="E64" s="240" t="s">
        <v>506</v>
      </c>
      <c r="F64" s="412" t="s">
        <v>497</v>
      </c>
      <c r="G64" s="413"/>
      <c r="H64" s="413"/>
      <c r="I64" s="413"/>
      <c r="J64" s="413"/>
      <c r="K64" s="413"/>
      <c r="L64" s="413"/>
      <c r="M64" s="414"/>
      <c r="N64" s="239"/>
      <c r="O64" s="246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243"/>
      <c r="D65" s="243"/>
      <c r="E65" s="240"/>
      <c r="F65" s="412"/>
      <c r="G65" s="413"/>
      <c r="H65" s="413"/>
      <c r="I65" s="413"/>
      <c r="J65" s="413"/>
      <c r="K65" s="413"/>
      <c r="L65" s="413"/>
      <c r="M65" s="414"/>
      <c r="N65" s="239"/>
      <c r="O65" s="246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43"/>
      <c r="D66" s="243"/>
      <c r="E66" s="240"/>
      <c r="F66" s="412"/>
      <c r="G66" s="413"/>
      <c r="H66" s="413"/>
      <c r="I66" s="413"/>
      <c r="J66" s="413"/>
      <c r="K66" s="413"/>
      <c r="L66" s="413"/>
      <c r="M66" s="414"/>
      <c r="N66" s="239"/>
      <c r="O66" s="246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241"/>
      <c r="D67" s="242"/>
      <c r="E67" s="241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515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244" t="s">
        <v>2</v>
      </c>
      <c r="D69" s="244" t="s">
        <v>37</v>
      </c>
      <c r="E69" s="244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244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521</v>
      </c>
      <c r="D70" s="248"/>
      <c r="E70" s="245" t="s">
        <v>523</v>
      </c>
      <c r="F70" s="437" t="s">
        <v>516</v>
      </c>
      <c r="G70" s="438"/>
      <c r="H70" s="438"/>
      <c r="I70" s="438"/>
      <c r="J70" s="438"/>
      <c r="K70" s="438" t="s">
        <v>526</v>
      </c>
      <c r="L70" s="438"/>
      <c r="M70" s="51" t="s">
        <v>529</v>
      </c>
      <c r="N70" s="439" t="s">
        <v>503</v>
      </c>
      <c r="O70" s="439"/>
      <c r="P70" s="440">
        <v>100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522</v>
      </c>
      <c r="D71" s="248"/>
      <c r="E71" s="245" t="s">
        <v>524</v>
      </c>
      <c r="F71" s="437" t="s">
        <v>517</v>
      </c>
      <c r="G71" s="438"/>
      <c r="H71" s="438"/>
      <c r="I71" s="438"/>
      <c r="J71" s="438"/>
      <c r="K71" s="438" t="s">
        <v>527</v>
      </c>
      <c r="L71" s="438"/>
      <c r="M71" s="51" t="s">
        <v>530</v>
      </c>
      <c r="N71" s="439" t="s">
        <v>531</v>
      </c>
      <c r="O71" s="439"/>
      <c r="P71" s="440">
        <v>50</v>
      </c>
      <c r="Q71" s="440"/>
      <c r="R71" s="441" t="s">
        <v>518</v>
      </c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521</v>
      </c>
      <c r="D72" s="248"/>
      <c r="E72" s="245" t="s">
        <v>525</v>
      </c>
      <c r="F72" s="437" t="s">
        <v>519</v>
      </c>
      <c r="G72" s="438"/>
      <c r="H72" s="438"/>
      <c r="I72" s="438"/>
      <c r="J72" s="438"/>
      <c r="K72" s="438" t="s">
        <v>526</v>
      </c>
      <c r="L72" s="438"/>
      <c r="M72" s="51" t="s">
        <v>529</v>
      </c>
      <c r="N72" s="439" t="s">
        <v>532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 t="s">
        <v>522</v>
      </c>
      <c r="D73" s="248"/>
      <c r="E73" s="245" t="s">
        <v>514</v>
      </c>
      <c r="F73" s="443" t="s">
        <v>520</v>
      </c>
      <c r="G73" s="444"/>
      <c r="H73" s="444"/>
      <c r="I73" s="444"/>
      <c r="J73" s="445"/>
      <c r="K73" s="438" t="s">
        <v>528</v>
      </c>
      <c r="L73" s="438"/>
      <c r="M73" s="51" t="s">
        <v>530</v>
      </c>
      <c r="N73" s="439" t="s">
        <v>532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248"/>
      <c r="E74" s="245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248"/>
      <c r="E75" s="245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248"/>
      <c r="E76" s="245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248"/>
      <c r="E77" s="245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248"/>
      <c r="E78" s="245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248"/>
      <c r="E79" s="245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533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247" t="s">
        <v>2</v>
      </c>
      <c r="D81" s="247" t="s">
        <v>37</v>
      </c>
      <c r="E81" s="247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249"/>
      <c r="D82" s="249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248"/>
      <c r="D83" s="248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248"/>
      <c r="D84" s="248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248"/>
      <c r="D85" s="248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248"/>
      <c r="D86" s="248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248"/>
      <c r="D87" s="248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248"/>
      <c r="D88" s="248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534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0C9-0BFC-492F-9C8B-F0EF32AD15D9}">
  <sheetPr>
    <pageSetUpPr fitToPage="1"/>
  </sheetPr>
  <dimension ref="A1:AF93"/>
  <sheetViews>
    <sheetView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535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62" t="s">
        <v>17</v>
      </c>
      <c r="L5" s="262" t="s">
        <v>18</v>
      </c>
      <c r="M5" s="262" t="s">
        <v>19</v>
      </c>
      <c r="N5" s="26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370</v>
      </c>
      <c r="D6" s="52"/>
      <c r="E6" s="53" t="s">
        <v>381</v>
      </c>
      <c r="F6" s="30" t="s">
        <v>145</v>
      </c>
      <c r="G6" s="12">
        <v>1</v>
      </c>
      <c r="H6" s="13">
        <v>24</v>
      </c>
      <c r="I6" s="31">
        <v>2200</v>
      </c>
      <c r="J6" s="14">
        <v>2794</v>
      </c>
      <c r="K6" s="15">
        <f>L6+2794</f>
        <v>2794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0.37310606060606061</v>
      </c>
      <c r="AF6" s="81">
        <f t="shared" ref="AF6:AF27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484</v>
      </c>
      <c r="F7" s="30" t="s">
        <v>148</v>
      </c>
      <c r="G7" s="12">
        <v>1</v>
      </c>
      <c r="H7" s="13">
        <v>24</v>
      </c>
      <c r="I7" s="31">
        <v>2000</v>
      </c>
      <c r="J7" s="14">
        <v>3406</v>
      </c>
      <c r="K7" s="15">
        <f>L7+3406</f>
        <v>3406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7" si="8">AC7*AB7*(1-O7)</f>
        <v>0</v>
      </c>
      <c r="AE7" s="36">
        <f t="shared" si="6"/>
        <v>0.37310606060606061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22</v>
      </c>
      <c r="I8" s="31">
        <v>73000</v>
      </c>
      <c r="J8" s="5">
        <v>2634</v>
      </c>
      <c r="K8" s="15">
        <f>L8+200+700</f>
        <v>3534</v>
      </c>
      <c r="L8" s="15">
        <f>1317*2</f>
        <v>2634</v>
      </c>
      <c r="M8" s="15">
        <f t="shared" ref="M8" si="9">L8-N8</f>
        <v>2634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7</v>
      </c>
      <c r="Q8" s="40">
        <f t="shared" ref="Q8" si="12">SUM(R8:AA8)</f>
        <v>17</v>
      </c>
      <c r="R8" s="7"/>
      <c r="S8" s="6">
        <v>17</v>
      </c>
      <c r="T8" s="16"/>
      <c r="U8" s="16"/>
      <c r="V8" s="17"/>
      <c r="W8" s="5"/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0.29166666666666669</v>
      </c>
      <c r="AD8" s="10">
        <f t="shared" ref="AD8" si="15">AC8*AB8*(1-O8)</f>
        <v>0.29166666666666669</v>
      </c>
      <c r="AE8" s="36">
        <f t="shared" si="6"/>
        <v>0.37310606060606061</v>
      </c>
      <c r="AF8" s="81">
        <f t="shared" ref="AF8" si="16">A8</f>
        <v>3</v>
      </c>
    </row>
    <row r="9" spans="1:32" ht="27" customHeight="1">
      <c r="A9" s="93">
        <v>4</v>
      </c>
      <c r="B9" s="11" t="s">
        <v>57</v>
      </c>
      <c r="C9" s="34" t="s">
        <v>129</v>
      </c>
      <c r="D9" s="52" t="s">
        <v>154</v>
      </c>
      <c r="E9" s="53" t="s">
        <v>416</v>
      </c>
      <c r="F9" s="30" t="s">
        <v>282</v>
      </c>
      <c r="G9" s="12">
        <v>2</v>
      </c>
      <c r="H9" s="13">
        <v>24</v>
      </c>
      <c r="I9" s="7">
        <v>10000</v>
      </c>
      <c r="J9" s="14">
        <v>11594</v>
      </c>
      <c r="K9" s="15">
        <f>L9+8974</f>
        <v>20568</v>
      </c>
      <c r="L9" s="15">
        <f>2860*2+2937*2</f>
        <v>11594</v>
      </c>
      <c r="M9" s="15">
        <f t="shared" si="0"/>
        <v>11594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0.37310606060606061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121</v>
      </c>
      <c r="E10" s="53" t="s">
        <v>312</v>
      </c>
      <c r="F10" s="30" t="s">
        <v>130</v>
      </c>
      <c r="G10" s="33">
        <v>1</v>
      </c>
      <c r="H10" s="35">
        <v>24</v>
      </c>
      <c r="I10" s="7">
        <v>6000</v>
      </c>
      <c r="J10" s="14">
        <v>5829</v>
      </c>
      <c r="K10" s="15">
        <f>L10</f>
        <v>5829</v>
      </c>
      <c r="L10" s="15">
        <f>2721+3108</f>
        <v>5829</v>
      </c>
      <c r="M10" s="15">
        <f t="shared" si="0"/>
        <v>5829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0.37310606060606061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129</v>
      </c>
      <c r="D11" s="52"/>
      <c r="E11" s="53" t="s">
        <v>485</v>
      </c>
      <c r="F11" s="30" t="s">
        <v>124</v>
      </c>
      <c r="G11" s="33">
        <v>4</v>
      </c>
      <c r="H11" s="35">
        <v>24</v>
      </c>
      <c r="I11" s="7">
        <v>100000</v>
      </c>
      <c r="J11" s="14">
        <v>32796</v>
      </c>
      <c r="K11" s="15">
        <f>L11+28416</f>
        <v>61212</v>
      </c>
      <c r="L11" s="15">
        <f>4144*4+4055*4</f>
        <v>32796</v>
      </c>
      <c r="M11" s="15">
        <f t="shared" si="0"/>
        <v>32796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0.37310606060606061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5335</v>
      </c>
      <c r="K12" s="15">
        <f>L12+5056+5299+5142+4725+5285+5308+3502+5153+5075+5268+5338+5267+5184+5110+5267+5309+13944+5077+5113+5283</f>
        <v>116040</v>
      </c>
      <c r="L12" s="15">
        <f>2690+2645</f>
        <v>5335</v>
      </c>
      <c r="M12" s="15">
        <f t="shared" si="0"/>
        <v>5335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0.37310606060606061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486</v>
      </c>
      <c r="F13" s="30" t="s">
        <v>123</v>
      </c>
      <c r="G13" s="33">
        <v>1</v>
      </c>
      <c r="H13" s="35">
        <v>22</v>
      </c>
      <c r="I13" s="7">
        <v>32000</v>
      </c>
      <c r="J13" s="14">
        <v>6382</v>
      </c>
      <c r="K13" s="15">
        <f>L13+6014</f>
        <v>12396</v>
      </c>
      <c r="L13" s="15">
        <f>3217+3165</f>
        <v>6382</v>
      </c>
      <c r="M13" s="15">
        <f t="shared" si="0"/>
        <v>6382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0.37310606060606061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129</v>
      </c>
      <c r="D14" s="52"/>
      <c r="E14" s="53" t="s">
        <v>536</v>
      </c>
      <c r="F14" s="30" t="s">
        <v>282</v>
      </c>
      <c r="G14" s="33" t="s">
        <v>537</v>
      </c>
      <c r="H14" s="35">
        <v>50</v>
      </c>
      <c r="I14" s="7">
        <v>2000</v>
      </c>
      <c r="J14" s="5">
        <v>5266</v>
      </c>
      <c r="K14" s="15">
        <f>L14</f>
        <v>5266</v>
      </c>
      <c r="L14" s="15">
        <f>1095*2+1538*2</f>
        <v>5266</v>
      </c>
      <c r="M14" s="15">
        <f t="shared" si="0"/>
        <v>5266</v>
      </c>
      <c r="N14" s="15">
        <v>0</v>
      </c>
      <c r="O14" s="58">
        <f t="shared" si="1"/>
        <v>0</v>
      </c>
      <c r="P14" s="39">
        <f t="shared" si="2"/>
        <v>21</v>
      </c>
      <c r="Q14" s="40">
        <f t="shared" si="3"/>
        <v>3</v>
      </c>
      <c r="R14" s="7"/>
      <c r="S14" s="6">
        <v>3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0.875</v>
      </c>
      <c r="AD14" s="10">
        <f t="shared" si="8"/>
        <v>0.875</v>
      </c>
      <c r="AE14" s="36">
        <f t="shared" si="6"/>
        <v>0.37310606060606061</v>
      </c>
      <c r="AF14" s="81">
        <f t="shared" si="7"/>
        <v>9</v>
      </c>
    </row>
    <row r="15" spans="1:32" ht="27" customHeight="1">
      <c r="A15" s="107">
        <v>10</v>
      </c>
      <c r="B15" s="11" t="s">
        <v>57</v>
      </c>
      <c r="C15" s="34" t="s">
        <v>116</v>
      </c>
      <c r="D15" s="52" t="s">
        <v>121</v>
      </c>
      <c r="E15" s="53" t="s">
        <v>127</v>
      </c>
      <c r="F15" s="30" t="s">
        <v>125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0.37310606060606061</v>
      </c>
      <c r="AF15" s="81">
        <f t="shared" si="7"/>
        <v>10</v>
      </c>
    </row>
    <row r="16" spans="1:32" ht="27" customHeight="1">
      <c r="A16" s="107">
        <v>11</v>
      </c>
      <c r="B16" s="11" t="s">
        <v>57</v>
      </c>
      <c r="C16" s="34" t="s">
        <v>142</v>
      </c>
      <c r="D16" s="52"/>
      <c r="E16" s="53" t="s">
        <v>153</v>
      </c>
      <c r="F16" s="30" t="s">
        <v>143</v>
      </c>
      <c r="G16" s="12">
        <v>30</v>
      </c>
      <c r="H16" s="13">
        <v>24</v>
      </c>
      <c r="I16" s="7">
        <v>1500000</v>
      </c>
      <c r="J16" s="14">
        <v>336810</v>
      </c>
      <c r="K16" s="15">
        <f>L16+272760+336570</f>
        <v>946140</v>
      </c>
      <c r="L16" s="15">
        <f>5573*30+5654*30</f>
        <v>336810</v>
      </c>
      <c r="M16" s="15">
        <f t="shared" si="0"/>
        <v>336810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0.37310606060606061</v>
      </c>
      <c r="AF16" s="81">
        <f t="shared" si="7"/>
        <v>11</v>
      </c>
    </row>
    <row r="17" spans="1:32" ht="27" customHeight="1">
      <c r="A17" s="107">
        <v>12</v>
      </c>
      <c r="B17" s="11" t="s">
        <v>57</v>
      </c>
      <c r="C17" s="34" t="s">
        <v>116</v>
      </c>
      <c r="D17" s="52" t="s">
        <v>146</v>
      </c>
      <c r="E17" s="53" t="s">
        <v>293</v>
      </c>
      <c r="F17" s="30" t="s">
        <v>278</v>
      </c>
      <c r="G17" s="12">
        <v>1</v>
      </c>
      <c r="H17" s="13">
        <v>24</v>
      </c>
      <c r="I17" s="7">
        <v>6000</v>
      </c>
      <c r="J17" s="14">
        <v>5395</v>
      </c>
      <c r="K17" s="15">
        <f>L17+5785+5395</f>
        <v>11180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0.37310606060606061</v>
      </c>
      <c r="AF17" s="81">
        <f t="shared" si="7"/>
        <v>12</v>
      </c>
    </row>
    <row r="18" spans="1:32" ht="27" customHeight="1">
      <c r="A18" s="107">
        <v>13</v>
      </c>
      <c r="B18" s="11" t="s">
        <v>57</v>
      </c>
      <c r="C18" s="34" t="s">
        <v>129</v>
      </c>
      <c r="D18" s="52" t="s">
        <v>115</v>
      </c>
      <c r="E18" s="53" t="s">
        <v>478</v>
      </c>
      <c r="F18" s="30" t="s">
        <v>282</v>
      </c>
      <c r="G18" s="12">
        <v>2</v>
      </c>
      <c r="H18" s="13">
        <v>24</v>
      </c>
      <c r="I18" s="7">
        <v>10000</v>
      </c>
      <c r="J18" s="14">
        <v>1154</v>
      </c>
      <c r="K18" s="15">
        <f>L18+2938+1906</f>
        <v>5998</v>
      </c>
      <c r="L18" s="15">
        <f>577*2</f>
        <v>1154</v>
      </c>
      <c r="M18" s="15">
        <f t="shared" ref="M18" si="17">L18-N18</f>
        <v>1154</v>
      </c>
      <c r="N18" s="15">
        <v>0</v>
      </c>
      <c r="O18" s="58">
        <f t="shared" ref="O18" si="18">IF(L18=0,"0",N18/L18)</f>
        <v>0</v>
      </c>
      <c r="P18" s="39">
        <f t="shared" ref="P18" si="19">IF(L18=0,"0",(24-Q18))</f>
        <v>4</v>
      </c>
      <c r="Q18" s="40">
        <f t="shared" ref="Q18" si="20">SUM(R18:AA18)</f>
        <v>20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>
        <v>10</v>
      </c>
      <c r="AB18" s="8">
        <f t="shared" ref="AB18" si="21">IF(J18=0,"0",(L18/J18))</f>
        <v>1</v>
      </c>
      <c r="AC18" s="9">
        <f t="shared" ref="AC18" si="22">IF(P18=0,"0",(P18/24))</f>
        <v>0.16666666666666666</v>
      </c>
      <c r="AD18" s="10">
        <f t="shared" ref="AD18" si="23">AC18*AB18*(1-O18)</f>
        <v>0.16666666666666666</v>
      </c>
      <c r="AE18" s="36">
        <f t="shared" si="6"/>
        <v>0.37310606060606061</v>
      </c>
      <c r="AF18" s="81">
        <f t="shared" ref="AF18" si="24">A18</f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128</v>
      </c>
      <c r="E19" s="53" t="s">
        <v>158</v>
      </c>
      <c r="F19" s="30" t="s">
        <v>124</v>
      </c>
      <c r="G19" s="33">
        <v>4</v>
      </c>
      <c r="H19" s="35">
        <v>24</v>
      </c>
      <c r="I19" s="7">
        <v>480000</v>
      </c>
      <c r="J19" s="14">
        <v>23908</v>
      </c>
      <c r="K19" s="15">
        <f>L19+16424+3460+8466+14048+14809+10420+6468+20028+25064+24256+18744+23224+19112+21656+19860+24856+20332+13908+23312+22632+21852+23044+17040+19056+16611+21012+23908</f>
        <v>493602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0.37310606060606061</v>
      </c>
      <c r="AF19" s="81">
        <f t="shared" si="7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128</v>
      </c>
      <c r="E20" s="53" t="s">
        <v>158</v>
      </c>
      <c r="F20" s="30" t="s">
        <v>124</v>
      </c>
      <c r="G20" s="33">
        <v>4</v>
      </c>
      <c r="H20" s="35">
        <v>24</v>
      </c>
      <c r="I20" s="7">
        <v>360000</v>
      </c>
      <c r="J20" s="14">
        <v>20332</v>
      </c>
      <c r="K20" s="15">
        <f>L20+16424+3460+8466+14048+14809+10420+6468+20028+25064+24256+18744+23224+19112+21656+19860+24856+20332</f>
        <v>291227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>
        <v>24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8"/>
        <v>0</v>
      </c>
      <c r="AE20" s="36">
        <f t="shared" si="6"/>
        <v>0.37310606060606061</v>
      </c>
      <c r="AF20" s="81">
        <f t="shared" si="7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494</v>
      </c>
      <c r="F21" s="12" t="s">
        <v>114</v>
      </c>
      <c r="G21" s="12">
        <v>4</v>
      </c>
      <c r="H21" s="35">
        <v>20</v>
      </c>
      <c r="I21" s="7">
        <v>2000000</v>
      </c>
      <c r="J21" s="14">
        <v>57176</v>
      </c>
      <c r="K21" s="15">
        <f>L21+34748</f>
        <v>91924</v>
      </c>
      <c r="L21" s="15">
        <f>7225*4+7069*4</f>
        <v>57176</v>
      </c>
      <c r="M21" s="15">
        <f t="shared" si="0"/>
        <v>57176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8"/>
        <v>0.875</v>
      </c>
      <c r="AE21" s="36">
        <f t="shared" si="6"/>
        <v>0.37310606060606061</v>
      </c>
      <c r="AF21" s="81">
        <f t="shared" si="7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25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0.37310606060606061</v>
      </c>
      <c r="AF22" s="81">
        <f t="shared" si="7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25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0.37310606060606061</v>
      </c>
      <c r="AF23" s="81">
        <f t="shared" si="7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0.37310606060606061</v>
      </c>
      <c r="AF24" s="81">
        <f t="shared" si="7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134</v>
      </c>
      <c r="F25" s="12" t="s">
        <v>125</v>
      </c>
      <c r="G25" s="12">
        <v>4</v>
      </c>
      <c r="H25" s="35">
        <v>20</v>
      </c>
      <c r="I25" s="7">
        <v>60000</v>
      </c>
      <c r="J25" s="14">
        <v>26768</v>
      </c>
      <c r="K25" s="15">
        <f>L25+24016+26768+22600</f>
        <v>73384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0.37310606060606061</v>
      </c>
      <c r="AF25" s="81">
        <f t="shared" si="7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0.37310606060606061</v>
      </c>
      <c r="AF26" s="81">
        <f t="shared" si="7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169</v>
      </c>
      <c r="F27" s="12" t="s">
        <v>144</v>
      </c>
      <c r="G27" s="12">
        <v>4</v>
      </c>
      <c r="H27" s="35">
        <v>20</v>
      </c>
      <c r="I27" s="7">
        <v>60000</v>
      </c>
      <c r="J27" s="14">
        <v>26192</v>
      </c>
      <c r="K27" s="15">
        <f>L27+20088+26192+24640</f>
        <v>70920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0.37310606060606061</v>
      </c>
      <c r="AF27" s="81">
        <f t="shared" si="7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26">SUM(I6:I27)</f>
        <v>5055200</v>
      </c>
      <c r="J28" s="19">
        <f t="shared" si="26"/>
        <v>628915</v>
      </c>
      <c r="K28" s="20">
        <f t="shared" si="26"/>
        <v>2436116</v>
      </c>
      <c r="L28" s="21">
        <f t="shared" si="26"/>
        <v>464976</v>
      </c>
      <c r="M28" s="20">
        <f t="shared" si="26"/>
        <v>464976</v>
      </c>
      <c r="N28" s="21">
        <f t="shared" si="26"/>
        <v>0</v>
      </c>
      <c r="O28" s="41">
        <f t="shared" si="1"/>
        <v>0</v>
      </c>
      <c r="P28" s="42">
        <f t="shared" ref="P28:AA28" si="27">SUM(P6:P27)</f>
        <v>197</v>
      </c>
      <c r="Q28" s="43">
        <f t="shared" si="27"/>
        <v>331</v>
      </c>
      <c r="R28" s="23">
        <f t="shared" si="27"/>
        <v>24</v>
      </c>
      <c r="S28" s="24">
        <f t="shared" si="27"/>
        <v>33</v>
      </c>
      <c r="T28" s="24">
        <f t="shared" si="27"/>
        <v>0</v>
      </c>
      <c r="U28" s="24">
        <f t="shared" si="27"/>
        <v>0</v>
      </c>
      <c r="V28" s="25">
        <f t="shared" si="27"/>
        <v>0</v>
      </c>
      <c r="W28" s="26">
        <f t="shared" si="27"/>
        <v>264</v>
      </c>
      <c r="X28" s="27">
        <f t="shared" si="27"/>
        <v>0</v>
      </c>
      <c r="Y28" s="27">
        <f t="shared" si="27"/>
        <v>0</v>
      </c>
      <c r="Z28" s="27">
        <f t="shared" si="27"/>
        <v>0</v>
      </c>
      <c r="AA28" s="27">
        <f t="shared" si="27"/>
        <v>10</v>
      </c>
      <c r="AB28" s="28">
        <f>AVERAGE(AB6:AB27)</f>
        <v>0.5</v>
      </c>
      <c r="AC28" s="4">
        <f>AVERAGE(AC6:AC27)</f>
        <v>0.37310606060606061</v>
      </c>
      <c r="AD28" s="4">
        <f>AVERAGE(AD6:AD27)</f>
        <v>0.37310606060606061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538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545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261" t="s">
        <v>46</v>
      </c>
      <c r="D57" s="261" t="s">
        <v>47</v>
      </c>
      <c r="E57" s="261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261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112</v>
      </c>
      <c r="B58" s="411"/>
      <c r="C58" s="257" t="s">
        <v>151</v>
      </c>
      <c r="D58" s="257" t="s">
        <v>115</v>
      </c>
      <c r="E58" s="257" t="s">
        <v>289</v>
      </c>
      <c r="F58" s="412" t="s">
        <v>539</v>
      </c>
      <c r="G58" s="413"/>
      <c r="H58" s="413"/>
      <c r="I58" s="413"/>
      <c r="J58" s="413"/>
      <c r="K58" s="413"/>
      <c r="L58" s="413"/>
      <c r="M58" s="414"/>
      <c r="N58" s="260" t="s">
        <v>112</v>
      </c>
      <c r="O58" s="254" t="s">
        <v>151</v>
      </c>
      <c r="P58" s="415" t="s">
        <v>115</v>
      </c>
      <c r="Q58" s="416"/>
      <c r="R58" s="415" t="s">
        <v>289</v>
      </c>
      <c r="S58" s="417"/>
      <c r="T58" s="417"/>
      <c r="U58" s="416"/>
      <c r="V58" s="412" t="s">
        <v>220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129</v>
      </c>
      <c r="B59" s="411"/>
      <c r="C59" s="257" t="s">
        <v>253</v>
      </c>
      <c r="D59" s="257" t="s">
        <v>115</v>
      </c>
      <c r="E59" s="257" t="s">
        <v>478</v>
      </c>
      <c r="F59" s="412" t="s">
        <v>307</v>
      </c>
      <c r="G59" s="413"/>
      <c r="H59" s="413"/>
      <c r="I59" s="413"/>
      <c r="J59" s="413"/>
      <c r="K59" s="413"/>
      <c r="L59" s="413"/>
      <c r="M59" s="414"/>
      <c r="N59" s="260" t="s">
        <v>129</v>
      </c>
      <c r="O59" s="254" t="s">
        <v>253</v>
      </c>
      <c r="P59" s="415" t="s">
        <v>115</v>
      </c>
      <c r="Q59" s="416"/>
      <c r="R59" s="415" t="s">
        <v>478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113</v>
      </c>
      <c r="B60" s="411"/>
      <c r="C60" s="266" t="s">
        <v>241</v>
      </c>
      <c r="D60" s="266"/>
      <c r="E60" s="266" t="s">
        <v>494</v>
      </c>
      <c r="F60" s="412" t="s">
        <v>540</v>
      </c>
      <c r="G60" s="413"/>
      <c r="H60" s="413"/>
      <c r="I60" s="413"/>
      <c r="J60" s="413"/>
      <c r="K60" s="413"/>
      <c r="L60" s="413"/>
      <c r="M60" s="414"/>
      <c r="N60" s="260" t="s">
        <v>112</v>
      </c>
      <c r="O60" s="254" t="s">
        <v>311</v>
      </c>
      <c r="P60" s="415" t="s">
        <v>146</v>
      </c>
      <c r="Q60" s="416"/>
      <c r="R60" s="415" t="s">
        <v>549</v>
      </c>
      <c r="S60" s="417"/>
      <c r="T60" s="417"/>
      <c r="U60" s="416"/>
      <c r="V60" s="412" t="s">
        <v>497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129</v>
      </c>
      <c r="B61" s="411"/>
      <c r="C61" s="257" t="s">
        <v>543</v>
      </c>
      <c r="D61" s="257" t="s">
        <v>544</v>
      </c>
      <c r="E61" s="257" t="s">
        <v>541</v>
      </c>
      <c r="F61" s="412" t="s">
        <v>542</v>
      </c>
      <c r="G61" s="413"/>
      <c r="H61" s="413"/>
      <c r="I61" s="413"/>
      <c r="J61" s="413"/>
      <c r="K61" s="413"/>
      <c r="L61" s="413"/>
      <c r="M61" s="414"/>
      <c r="N61" s="260" t="s">
        <v>173</v>
      </c>
      <c r="O61" s="254" t="s">
        <v>152</v>
      </c>
      <c r="P61" s="415" t="s">
        <v>146</v>
      </c>
      <c r="Q61" s="416"/>
      <c r="R61" s="415" t="s">
        <v>228</v>
      </c>
      <c r="S61" s="417"/>
      <c r="T61" s="417"/>
      <c r="U61" s="416"/>
      <c r="V61" s="412" t="s">
        <v>497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129</v>
      </c>
      <c r="B62" s="411"/>
      <c r="C62" s="257" t="s">
        <v>548</v>
      </c>
      <c r="D62" s="257"/>
      <c r="E62" s="257" t="s">
        <v>546</v>
      </c>
      <c r="F62" s="412" t="s">
        <v>547</v>
      </c>
      <c r="G62" s="413"/>
      <c r="H62" s="413"/>
      <c r="I62" s="413"/>
      <c r="J62" s="413"/>
      <c r="K62" s="413"/>
      <c r="L62" s="413"/>
      <c r="M62" s="414"/>
      <c r="N62" s="260" t="s">
        <v>129</v>
      </c>
      <c r="O62" s="254" t="s">
        <v>543</v>
      </c>
      <c r="P62" s="415" t="s">
        <v>544</v>
      </c>
      <c r="Q62" s="416"/>
      <c r="R62" s="415" t="s">
        <v>550</v>
      </c>
      <c r="S62" s="417"/>
      <c r="T62" s="417"/>
      <c r="U62" s="416"/>
      <c r="V62" s="412" t="s">
        <v>122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/>
      <c r="B63" s="411"/>
      <c r="C63" s="257"/>
      <c r="D63" s="257"/>
      <c r="E63" s="257"/>
      <c r="F63" s="412"/>
      <c r="G63" s="413"/>
      <c r="H63" s="413"/>
      <c r="I63" s="413"/>
      <c r="J63" s="413"/>
      <c r="K63" s="413"/>
      <c r="L63" s="413"/>
      <c r="M63" s="414"/>
      <c r="N63" s="260" t="s">
        <v>112</v>
      </c>
      <c r="O63" s="254" t="s">
        <v>552</v>
      </c>
      <c r="P63" s="415" t="s">
        <v>115</v>
      </c>
      <c r="Q63" s="416"/>
      <c r="R63" s="415" t="s">
        <v>551</v>
      </c>
      <c r="S63" s="417"/>
      <c r="T63" s="417"/>
      <c r="U63" s="416"/>
      <c r="V63" s="412" t="s">
        <v>122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257"/>
      <c r="D64" s="257"/>
      <c r="E64" s="257"/>
      <c r="F64" s="412"/>
      <c r="G64" s="413"/>
      <c r="H64" s="413"/>
      <c r="I64" s="413"/>
      <c r="J64" s="413"/>
      <c r="K64" s="413"/>
      <c r="L64" s="413"/>
      <c r="M64" s="414"/>
      <c r="N64" s="260"/>
      <c r="O64" s="254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256"/>
      <c r="D65" s="256"/>
      <c r="E65" s="257"/>
      <c r="F65" s="412"/>
      <c r="G65" s="413"/>
      <c r="H65" s="413"/>
      <c r="I65" s="413"/>
      <c r="J65" s="413"/>
      <c r="K65" s="413"/>
      <c r="L65" s="413"/>
      <c r="M65" s="414"/>
      <c r="N65" s="260"/>
      <c r="O65" s="254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56"/>
      <c r="D66" s="256"/>
      <c r="E66" s="257"/>
      <c r="F66" s="412"/>
      <c r="G66" s="413"/>
      <c r="H66" s="413"/>
      <c r="I66" s="413"/>
      <c r="J66" s="413"/>
      <c r="K66" s="413"/>
      <c r="L66" s="413"/>
      <c r="M66" s="414"/>
      <c r="N66" s="260"/>
      <c r="O66" s="254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258"/>
      <c r="D67" s="259"/>
      <c r="E67" s="258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553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255" t="s">
        <v>2</v>
      </c>
      <c r="D69" s="255" t="s">
        <v>37</v>
      </c>
      <c r="E69" s="255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255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562</v>
      </c>
      <c r="D70" s="250"/>
      <c r="E70" s="253" t="s">
        <v>566</v>
      </c>
      <c r="F70" s="437" t="s">
        <v>554</v>
      </c>
      <c r="G70" s="438"/>
      <c r="H70" s="438"/>
      <c r="I70" s="438"/>
      <c r="J70" s="438"/>
      <c r="K70" s="438" t="s">
        <v>570</v>
      </c>
      <c r="L70" s="438"/>
      <c r="M70" s="51" t="s">
        <v>577</v>
      </c>
      <c r="N70" s="439" t="s">
        <v>578</v>
      </c>
      <c r="O70" s="439"/>
      <c r="P70" s="440">
        <v>40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563</v>
      </c>
      <c r="D71" s="250"/>
      <c r="E71" s="253"/>
      <c r="F71" s="437" t="s">
        <v>555</v>
      </c>
      <c r="G71" s="438"/>
      <c r="H71" s="438"/>
      <c r="I71" s="438"/>
      <c r="J71" s="438"/>
      <c r="K71" s="438" t="s">
        <v>571</v>
      </c>
      <c r="L71" s="438"/>
      <c r="M71" s="51" t="s">
        <v>579</v>
      </c>
      <c r="N71" s="439" t="s">
        <v>580</v>
      </c>
      <c r="O71" s="439"/>
      <c r="P71" s="440">
        <v>100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564</v>
      </c>
      <c r="D72" s="250"/>
      <c r="E72" s="253" t="s">
        <v>567</v>
      </c>
      <c r="F72" s="437" t="s">
        <v>556</v>
      </c>
      <c r="G72" s="438"/>
      <c r="H72" s="438"/>
      <c r="I72" s="438"/>
      <c r="J72" s="438"/>
      <c r="K72" s="438" t="s">
        <v>572</v>
      </c>
      <c r="L72" s="438"/>
      <c r="M72" s="51" t="s">
        <v>581</v>
      </c>
      <c r="N72" s="439" t="s">
        <v>580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 t="s">
        <v>563</v>
      </c>
      <c r="D73" s="250"/>
      <c r="E73" s="253"/>
      <c r="F73" s="443" t="s">
        <v>557</v>
      </c>
      <c r="G73" s="444"/>
      <c r="H73" s="444"/>
      <c r="I73" s="444"/>
      <c r="J73" s="445"/>
      <c r="K73" s="438" t="s">
        <v>573</v>
      </c>
      <c r="L73" s="438"/>
      <c r="M73" s="51" t="s">
        <v>579</v>
      </c>
      <c r="N73" s="439" t="s">
        <v>582</v>
      </c>
      <c r="O73" s="439"/>
      <c r="P73" s="440">
        <v>100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 t="s">
        <v>563</v>
      </c>
      <c r="D74" s="250"/>
      <c r="E74" s="253"/>
      <c r="F74" s="443" t="s">
        <v>558</v>
      </c>
      <c r="G74" s="444"/>
      <c r="H74" s="444"/>
      <c r="I74" s="444"/>
      <c r="J74" s="445"/>
      <c r="K74" s="438" t="s">
        <v>573</v>
      </c>
      <c r="L74" s="438"/>
      <c r="M74" s="51" t="s">
        <v>579</v>
      </c>
      <c r="N74" s="439" t="s">
        <v>582</v>
      </c>
      <c r="O74" s="439"/>
      <c r="P74" s="440">
        <v>100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 t="s">
        <v>565</v>
      </c>
      <c r="D75" s="250"/>
      <c r="E75" s="253" t="s">
        <v>568</v>
      </c>
      <c r="F75" s="443" t="s">
        <v>559</v>
      </c>
      <c r="G75" s="444"/>
      <c r="H75" s="444"/>
      <c r="I75" s="444"/>
      <c r="J75" s="445"/>
      <c r="K75" s="438" t="s">
        <v>574</v>
      </c>
      <c r="L75" s="438"/>
      <c r="M75" s="51" t="s">
        <v>577</v>
      </c>
      <c r="N75" s="439" t="s">
        <v>582</v>
      </c>
      <c r="O75" s="439"/>
      <c r="P75" s="440">
        <v>50</v>
      </c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 t="s">
        <v>565</v>
      </c>
      <c r="D76" s="250"/>
      <c r="E76" s="253" t="s">
        <v>544</v>
      </c>
      <c r="F76" s="443" t="s">
        <v>560</v>
      </c>
      <c r="G76" s="444"/>
      <c r="H76" s="444"/>
      <c r="I76" s="444"/>
      <c r="J76" s="445"/>
      <c r="K76" s="438" t="s">
        <v>575</v>
      </c>
      <c r="L76" s="438"/>
      <c r="M76" s="51" t="s">
        <v>577</v>
      </c>
      <c r="N76" s="439" t="s">
        <v>583</v>
      </c>
      <c r="O76" s="439"/>
      <c r="P76" s="440">
        <v>100</v>
      </c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 t="s">
        <v>565</v>
      </c>
      <c r="D77" s="250"/>
      <c r="E77" s="253" t="s">
        <v>569</v>
      </c>
      <c r="F77" s="437" t="s">
        <v>561</v>
      </c>
      <c r="G77" s="438"/>
      <c r="H77" s="438"/>
      <c r="I77" s="438"/>
      <c r="J77" s="438"/>
      <c r="K77" s="438" t="s">
        <v>576</v>
      </c>
      <c r="L77" s="438"/>
      <c r="M77" s="51" t="s">
        <v>581</v>
      </c>
      <c r="N77" s="439" t="s">
        <v>583</v>
      </c>
      <c r="O77" s="439"/>
      <c r="P77" s="440">
        <v>50</v>
      </c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250"/>
      <c r="E78" s="253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250"/>
      <c r="E79" s="253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584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252" t="s">
        <v>2</v>
      </c>
      <c r="D81" s="252" t="s">
        <v>37</v>
      </c>
      <c r="E81" s="252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251"/>
      <c r="D82" s="251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250"/>
      <c r="D83" s="250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28">A83+1</f>
        <v>3</v>
      </c>
      <c r="B84" s="455"/>
      <c r="C84" s="250"/>
      <c r="D84" s="250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28"/>
        <v>4</v>
      </c>
      <c r="B85" s="455"/>
      <c r="C85" s="250"/>
      <c r="D85" s="250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8"/>
        <v>5</v>
      </c>
      <c r="B86" s="455"/>
      <c r="C86" s="250"/>
      <c r="D86" s="250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8"/>
        <v>6</v>
      </c>
      <c r="B87" s="455"/>
      <c r="C87" s="250"/>
      <c r="D87" s="250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8"/>
        <v>7</v>
      </c>
      <c r="B88" s="455"/>
      <c r="C88" s="250"/>
      <c r="D88" s="250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585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A58E-2FB0-470A-B234-E8CE3930597A}">
  <sheetPr>
    <pageSetUpPr fitToPage="1"/>
  </sheetPr>
  <dimension ref="A1:AF95"/>
  <sheetViews>
    <sheetView view="pageBreakPreview" zoomScale="70" zoomScaleNormal="72" zoomScaleSheetLayoutView="70" workbookViewId="0">
      <selection activeCell="A92" sqref="A92:B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586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63" t="s">
        <v>17</v>
      </c>
      <c r="L5" s="263" t="s">
        <v>18</v>
      </c>
      <c r="M5" s="263" t="s">
        <v>19</v>
      </c>
      <c r="N5" s="26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173</v>
      </c>
      <c r="D6" s="52" t="s">
        <v>146</v>
      </c>
      <c r="E6" s="53" t="s">
        <v>228</v>
      </c>
      <c r="F6" s="30" t="s">
        <v>145</v>
      </c>
      <c r="G6" s="12">
        <v>1</v>
      </c>
      <c r="H6" s="13">
        <v>24</v>
      </c>
      <c r="I6" s="31">
        <v>1000</v>
      </c>
      <c r="J6" s="14">
        <v>1665</v>
      </c>
      <c r="K6" s="15">
        <f>L6</f>
        <v>1665</v>
      </c>
      <c r="L6" s="15">
        <v>1665</v>
      </c>
      <c r="M6" s="15">
        <f t="shared" ref="M6:M29" si="0">L6-N6</f>
        <v>1665</v>
      </c>
      <c r="N6" s="15">
        <v>0</v>
      </c>
      <c r="O6" s="58">
        <f t="shared" ref="O6:O30" si="1">IF(L6=0,"0",N6/L6)</f>
        <v>0</v>
      </c>
      <c r="P6" s="39">
        <f t="shared" ref="P6:P29" si="2">IF(L6=0,"0",(24-Q6))</f>
        <v>8</v>
      </c>
      <c r="Q6" s="40">
        <f t="shared" ref="Q6:Q29" si="3">SUM(R6:AA6)</f>
        <v>16</v>
      </c>
      <c r="R6" s="7"/>
      <c r="S6" s="6"/>
      <c r="T6" s="16"/>
      <c r="U6" s="16"/>
      <c r="V6" s="17"/>
      <c r="W6" s="5">
        <v>16</v>
      </c>
      <c r="X6" s="16"/>
      <c r="Y6" s="16"/>
      <c r="Z6" s="16"/>
      <c r="AA6" s="18"/>
      <c r="AB6" s="8">
        <f t="shared" ref="AB6:AB29" si="4">IF(J6=0,"0",(L6/J6))</f>
        <v>1</v>
      </c>
      <c r="AC6" s="9">
        <f t="shared" ref="AC6:AC29" si="5">IF(P6=0,"0",(P6/24))</f>
        <v>0.33333333333333331</v>
      </c>
      <c r="AD6" s="10">
        <f>AC6*AB6*(1-O6)</f>
        <v>0.33333333333333331</v>
      </c>
      <c r="AE6" s="36">
        <f t="shared" ref="AE6:AE29" si="6">$AD$30</f>
        <v>0.43229166666666669</v>
      </c>
      <c r="AF6" s="81">
        <f t="shared" ref="AF6:AF29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549</v>
      </c>
      <c r="F7" s="30" t="s">
        <v>145</v>
      </c>
      <c r="G7" s="12">
        <v>1</v>
      </c>
      <c r="H7" s="13">
        <v>24</v>
      </c>
      <c r="I7" s="31">
        <v>500</v>
      </c>
      <c r="J7" s="14">
        <v>2663</v>
      </c>
      <c r="K7" s="15">
        <f>L7</f>
        <v>2663</v>
      </c>
      <c r="L7" s="15">
        <f>792+1871</f>
        <v>2663</v>
      </c>
      <c r="M7" s="15">
        <f t="shared" si="0"/>
        <v>2663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>
        <v>6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ref="AD7:AD29" si="8">AC7*AB7*(1-O7)</f>
        <v>0.75</v>
      </c>
      <c r="AE7" s="36">
        <f t="shared" si="6"/>
        <v>0.43229166666666669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22</v>
      </c>
      <c r="I8" s="31">
        <v>73000</v>
      </c>
      <c r="J8" s="5">
        <v>8280</v>
      </c>
      <c r="K8" s="15">
        <f>L8+200+700+2634</f>
        <v>11814</v>
      </c>
      <c r="L8" s="15">
        <f>2490*2+1650*2</f>
        <v>8280</v>
      </c>
      <c r="M8" s="15">
        <f t="shared" si="0"/>
        <v>8280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8"/>
        <v>0.875</v>
      </c>
      <c r="AE8" s="36">
        <f t="shared" si="6"/>
        <v>0.43229166666666669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112</v>
      </c>
      <c r="D9" s="52" t="s">
        <v>115</v>
      </c>
      <c r="E9" s="53" t="s">
        <v>551</v>
      </c>
      <c r="F9" s="30" t="s">
        <v>130</v>
      </c>
      <c r="G9" s="12">
        <v>1</v>
      </c>
      <c r="H9" s="13">
        <v>24</v>
      </c>
      <c r="I9" s="7">
        <v>7000</v>
      </c>
      <c r="J9" s="14">
        <v>2761</v>
      </c>
      <c r="K9" s="15">
        <f>L9</f>
        <v>2761</v>
      </c>
      <c r="L9" s="15">
        <f>275+2486</f>
        <v>2761</v>
      </c>
      <c r="M9" s="15">
        <f t="shared" si="0"/>
        <v>2761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/>
      <c r="T9" s="16">
        <v>6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8"/>
        <v>0.75</v>
      </c>
      <c r="AE9" s="36">
        <f t="shared" si="6"/>
        <v>0.43229166666666669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129</v>
      </c>
      <c r="D10" s="52" t="s">
        <v>121</v>
      </c>
      <c r="E10" s="53" t="s">
        <v>312</v>
      </c>
      <c r="F10" s="30" t="s">
        <v>130</v>
      </c>
      <c r="G10" s="33">
        <v>1</v>
      </c>
      <c r="H10" s="35">
        <v>24</v>
      </c>
      <c r="I10" s="7">
        <v>6000</v>
      </c>
      <c r="J10" s="14">
        <v>995</v>
      </c>
      <c r="K10" s="15">
        <f>L10+5829</f>
        <v>6824</v>
      </c>
      <c r="L10" s="15">
        <f>995</f>
        <v>995</v>
      </c>
      <c r="M10" s="15">
        <f t="shared" si="0"/>
        <v>995</v>
      </c>
      <c r="N10" s="15">
        <v>0</v>
      </c>
      <c r="O10" s="58">
        <f t="shared" si="1"/>
        <v>0</v>
      </c>
      <c r="P10" s="39">
        <f t="shared" si="2"/>
        <v>5</v>
      </c>
      <c r="Q10" s="40">
        <f t="shared" si="3"/>
        <v>19</v>
      </c>
      <c r="R10" s="7"/>
      <c r="S10" s="6"/>
      <c r="T10" s="16"/>
      <c r="U10" s="16"/>
      <c r="V10" s="17"/>
      <c r="W10" s="5">
        <v>19</v>
      </c>
      <c r="X10" s="16"/>
      <c r="Y10" s="16"/>
      <c r="Z10" s="16"/>
      <c r="AA10" s="18"/>
      <c r="AB10" s="8">
        <f t="shared" si="4"/>
        <v>1</v>
      </c>
      <c r="AC10" s="9">
        <f t="shared" si="5"/>
        <v>0.20833333333333334</v>
      </c>
      <c r="AD10" s="10">
        <f t="shared" si="8"/>
        <v>0.20833333333333334</v>
      </c>
      <c r="AE10" s="36">
        <f t="shared" si="6"/>
        <v>0.43229166666666669</v>
      </c>
      <c r="AF10" s="81">
        <f t="shared" si="7"/>
        <v>5</v>
      </c>
    </row>
    <row r="11" spans="1:32" ht="27" customHeight="1">
      <c r="A11" s="93">
        <v>5</v>
      </c>
      <c r="B11" s="11" t="s">
        <v>57</v>
      </c>
      <c r="C11" s="11" t="s">
        <v>129</v>
      </c>
      <c r="D11" s="52" t="s">
        <v>121</v>
      </c>
      <c r="E11" s="53" t="s">
        <v>587</v>
      </c>
      <c r="F11" s="30" t="s">
        <v>130</v>
      </c>
      <c r="G11" s="33">
        <v>1</v>
      </c>
      <c r="H11" s="35">
        <v>24</v>
      </c>
      <c r="I11" s="7">
        <v>1200</v>
      </c>
      <c r="J11" s="14">
        <v>1277</v>
      </c>
      <c r="K11" s="15">
        <f>L11</f>
        <v>1277</v>
      </c>
      <c r="L11" s="15">
        <f>1277</f>
        <v>1277</v>
      </c>
      <c r="M11" s="15">
        <f t="shared" ref="M11" si="9">L11-N11</f>
        <v>1277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7</v>
      </c>
      <c r="Q11" s="40">
        <f t="shared" ref="Q11" si="12">SUM(R11:AA11)</f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0.29166666666666669</v>
      </c>
      <c r="AD11" s="10">
        <f t="shared" ref="AD11" si="15">AC11*AB11*(1-O11)</f>
        <v>0.29166666666666669</v>
      </c>
      <c r="AE11" s="36">
        <f t="shared" si="6"/>
        <v>0.43229166666666669</v>
      </c>
      <c r="AF11" s="81">
        <f t="shared" ref="AF11" si="16">A11</f>
        <v>5</v>
      </c>
    </row>
    <row r="12" spans="1:32" ht="27" customHeight="1">
      <c r="A12" s="93">
        <v>5</v>
      </c>
      <c r="B12" s="11" t="s">
        <v>57</v>
      </c>
      <c r="C12" s="11" t="s">
        <v>112</v>
      </c>
      <c r="D12" s="52" t="s">
        <v>121</v>
      </c>
      <c r="E12" s="53" t="s">
        <v>588</v>
      </c>
      <c r="F12" s="30" t="s">
        <v>130</v>
      </c>
      <c r="G12" s="33">
        <v>1</v>
      </c>
      <c r="H12" s="35">
        <v>24</v>
      </c>
      <c r="I12" s="7">
        <v>500</v>
      </c>
      <c r="J12" s="14">
        <v>500</v>
      </c>
      <c r="K12" s="15">
        <f>L12</f>
        <v>500</v>
      </c>
      <c r="L12" s="15">
        <v>500</v>
      </c>
      <c r="M12" s="15">
        <f t="shared" ref="M12" si="17">L12-N12</f>
        <v>500</v>
      </c>
      <c r="N12" s="15">
        <v>0</v>
      </c>
      <c r="O12" s="58">
        <f t="shared" ref="O12" si="18">IF(L12=0,"0",N12/L12)</f>
        <v>0</v>
      </c>
      <c r="P12" s="39">
        <f t="shared" ref="P12" si="19">IF(L12=0,"0",(24-Q12))</f>
        <v>4</v>
      </c>
      <c r="Q12" s="40">
        <f t="shared" ref="Q12" si="20">SUM(R12:AA12)</f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ref="AB12" si="21">IF(J12=0,"0",(L12/J12))</f>
        <v>1</v>
      </c>
      <c r="AC12" s="9">
        <f t="shared" ref="AC12" si="22">IF(P12=0,"0",(P12/24))</f>
        <v>0.16666666666666666</v>
      </c>
      <c r="AD12" s="10">
        <f t="shared" ref="AD12" si="23">AC12*AB12*(1-O12)</f>
        <v>0.16666666666666666</v>
      </c>
      <c r="AE12" s="36">
        <f t="shared" si="6"/>
        <v>0.43229166666666669</v>
      </c>
      <c r="AF12" s="81">
        <f t="shared" ref="AF12" si="24">A12</f>
        <v>5</v>
      </c>
    </row>
    <row r="13" spans="1:32" ht="27" customHeight="1">
      <c r="A13" s="93">
        <v>6</v>
      </c>
      <c r="B13" s="11" t="s">
        <v>57</v>
      </c>
      <c r="C13" s="11" t="s">
        <v>129</v>
      </c>
      <c r="D13" s="52"/>
      <c r="E13" s="53" t="s">
        <v>485</v>
      </c>
      <c r="F13" s="30" t="s">
        <v>124</v>
      </c>
      <c r="G13" s="33">
        <v>4</v>
      </c>
      <c r="H13" s="35">
        <v>24</v>
      </c>
      <c r="I13" s="7">
        <v>100000</v>
      </c>
      <c r="J13" s="14">
        <v>32864</v>
      </c>
      <c r="K13" s="15">
        <f>L13+28416+32796</f>
        <v>94076</v>
      </c>
      <c r="L13" s="15">
        <f>4072*4+4144*4</f>
        <v>32864</v>
      </c>
      <c r="M13" s="15">
        <f t="shared" si="0"/>
        <v>32864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0.43229166666666669</v>
      </c>
      <c r="AF13" s="81">
        <f t="shared" si="7"/>
        <v>6</v>
      </c>
    </row>
    <row r="14" spans="1:32" ht="27" customHeight="1">
      <c r="A14" s="93">
        <v>7</v>
      </c>
      <c r="B14" s="11" t="s">
        <v>57</v>
      </c>
      <c r="C14" s="34" t="s">
        <v>116</v>
      </c>
      <c r="D14" s="52" t="s">
        <v>115</v>
      </c>
      <c r="E14" s="53" t="s">
        <v>164</v>
      </c>
      <c r="F14" s="30" t="s">
        <v>123</v>
      </c>
      <c r="G14" s="12">
        <v>1</v>
      </c>
      <c r="H14" s="13">
        <v>22</v>
      </c>
      <c r="I14" s="31">
        <f>70000+110000</f>
        <v>180000</v>
      </c>
      <c r="J14" s="5">
        <v>5351</v>
      </c>
      <c r="K14" s="15">
        <f>L14+5056+5299+5142+4725+5285+5308+3502+5153+5075+5268+5338+5267+5184+5110+5267+5309+13944+5077+5113+5283+5335</f>
        <v>121391</v>
      </c>
      <c r="L14" s="15">
        <f>2700+2651</f>
        <v>5351</v>
      </c>
      <c r="M14" s="15">
        <f t="shared" si="0"/>
        <v>5351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0.43229166666666669</v>
      </c>
      <c r="AF14" s="81">
        <f t="shared" si="7"/>
        <v>7</v>
      </c>
    </row>
    <row r="15" spans="1:32" ht="27" customHeight="1">
      <c r="A15" s="93">
        <v>8</v>
      </c>
      <c r="B15" s="11" t="s">
        <v>57</v>
      </c>
      <c r="C15" s="11" t="s">
        <v>112</v>
      </c>
      <c r="D15" s="52" t="s">
        <v>154</v>
      </c>
      <c r="E15" s="53" t="s">
        <v>486</v>
      </c>
      <c r="F15" s="30" t="s">
        <v>123</v>
      </c>
      <c r="G15" s="33">
        <v>1</v>
      </c>
      <c r="H15" s="35">
        <v>22</v>
      </c>
      <c r="I15" s="7">
        <v>32000</v>
      </c>
      <c r="J15" s="14">
        <v>6362</v>
      </c>
      <c r="K15" s="15">
        <f>L15+6014+6382</f>
        <v>18758</v>
      </c>
      <c r="L15" s="15">
        <f>3205+3157</f>
        <v>6362</v>
      </c>
      <c r="M15" s="15">
        <f t="shared" si="0"/>
        <v>6362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0.43229166666666669</v>
      </c>
      <c r="AF15" s="81">
        <f t="shared" si="7"/>
        <v>8</v>
      </c>
    </row>
    <row r="16" spans="1:32" ht="27" customHeight="1">
      <c r="A16" s="100">
        <v>9</v>
      </c>
      <c r="B16" s="11" t="s">
        <v>57</v>
      </c>
      <c r="C16" s="34" t="s">
        <v>129</v>
      </c>
      <c r="D16" s="52"/>
      <c r="E16" s="53" t="s">
        <v>536</v>
      </c>
      <c r="F16" s="30" t="s">
        <v>282</v>
      </c>
      <c r="G16" s="33" t="s">
        <v>537</v>
      </c>
      <c r="H16" s="35">
        <v>50</v>
      </c>
      <c r="I16" s="7">
        <v>2000</v>
      </c>
      <c r="J16" s="5">
        <v>6132</v>
      </c>
      <c r="K16" s="15">
        <f>L16+5266</f>
        <v>11398</v>
      </c>
      <c r="L16" s="15">
        <f>1230*2+1836*2</f>
        <v>6132</v>
      </c>
      <c r="M16" s="15">
        <f t="shared" si="0"/>
        <v>6132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/>
      <c r="T16" s="16"/>
      <c r="U16" s="16"/>
      <c r="V16" s="17"/>
      <c r="W16" s="5">
        <v>2</v>
      </c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8"/>
        <v>0.91666666666666663</v>
      </c>
      <c r="AE16" s="36">
        <f t="shared" si="6"/>
        <v>0.43229166666666669</v>
      </c>
      <c r="AF16" s="81">
        <f t="shared" si="7"/>
        <v>9</v>
      </c>
    </row>
    <row r="17" spans="1:32" ht="27" customHeight="1">
      <c r="A17" s="107">
        <v>10</v>
      </c>
      <c r="B17" s="11" t="s">
        <v>57</v>
      </c>
      <c r="C17" s="34" t="s">
        <v>116</v>
      </c>
      <c r="D17" s="52" t="s">
        <v>121</v>
      </c>
      <c r="E17" s="53" t="s">
        <v>127</v>
      </c>
      <c r="F17" s="30" t="s">
        <v>125</v>
      </c>
      <c r="G17" s="12">
        <v>4</v>
      </c>
      <c r="H17" s="13">
        <v>24</v>
      </c>
      <c r="I17" s="31">
        <v>52000</v>
      </c>
      <c r="J17" s="14">
        <v>76</v>
      </c>
      <c r="K17" s="15">
        <f>L17+17004+25452+26300</f>
        <v>68756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0.43229166666666669</v>
      </c>
      <c r="AF17" s="81">
        <f t="shared" si="7"/>
        <v>10</v>
      </c>
    </row>
    <row r="18" spans="1:32" ht="27" customHeight="1">
      <c r="A18" s="107">
        <v>11</v>
      </c>
      <c r="B18" s="11" t="s">
        <v>57</v>
      </c>
      <c r="C18" s="34" t="s">
        <v>142</v>
      </c>
      <c r="D18" s="52"/>
      <c r="E18" s="53" t="s">
        <v>153</v>
      </c>
      <c r="F18" s="30" t="s">
        <v>143</v>
      </c>
      <c r="G18" s="12">
        <v>30</v>
      </c>
      <c r="H18" s="13">
        <v>24</v>
      </c>
      <c r="I18" s="7">
        <v>1500000</v>
      </c>
      <c r="J18" s="14">
        <v>345570</v>
      </c>
      <c r="K18" s="15">
        <f>L18+272760+336570+336810</f>
        <v>1291710</v>
      </c>
      <c r="L18" s="15">
        <f>5804*30+5715*30</f>
        <v>345570</v>
      </c>
      <c r="M18" s="15">
        <f t="shared" si="0"/>
        <v>345570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0.43229166666666669</v>
      </c>
      <c r="AF18" s="81">
        <f t="shared" si="7"/>
        <v>11</v>
      </c>
    </row>
    <row r="19" spans="1:32" ht="27" customHeight="1">
      <c r="A19" s="107">
        <v>12</v>
      </c>
      <c r="B19" s="11" t="s">
        <v>57</v>
      </c>
      <c r="C19" s="34" t="s">
        <v>116</v>
      </c>
      <c r="D19" s="52" t="s">
        <v>146</v>
      </c>
      <c r="E19" s="53" t="s">
        <v>293</v>
      </c>
      <c r="F19" s="30" t="s">
        <v>278</v>
      </c>
      <c r="G19" s="12">
        <v>1</v>
      </c>
      <c r="H19" s="13">
        <v>24</v>
      </c>
      <c r="I19" s="7">
        <v>6000</v>
      </c>
      <c r="J19" s="14">
        <v>5395</v>
      </c>
      <c r="K19" s="15">
        <f>L19+5785+5395</f>
        <v>11180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0.43229166666666669</v>
      </c>
      <c r="AF19" s="81">
        <f t="shared" si="7"/>
        <v>12</v>
      </c>
    </row>
    <row r="20" spans="1:32" ht="27" customHeight="1">
      <c r="A20" s="107">
        <v>13</v>
      </c>
      <c r="B20" s="11" t="s">
        <v>57</v>
      </c>
      <c r="C20" s="34" t="s">
        <v>129</v>
      </c>
      <c r="D20" s="52" t="s">
        <v>115</v>
      </c>
      <c r="E20" s="53" t="s">
        <v>478</v>
      </c>
      <c r="F20" s="30" t="s">
        <v>282</v>
      </c>
      <c r="G20" s="12">
        <v>2</v>
      </c>
      <c r="H20" s="13">
        <v>24</v>
      </c>
      <c r="I20" s="7">
        <v>10000</v>
      </c>
      <c r="J20" s="14">
        <v>7776</v>
      </c>
      <c r="K20" s="15">
        <f>L20+2938+1906+1154</f>
        <v>13774</v>
      </c>
      <c r="L20" s="15">
        <f>2183*2+1705*2</f>
        <v>7776</v>
      </c>
      <c r="M20" s="15">
        <f t="shared" si="0"/>
        <v>7776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/>
      <c r="U20" s="16"/>
      <c r="V20" s="17"/>
      <c r="W20" s="5">
        <v>2</v>
      </c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0.43229166666666669</v>
      </c>
      <c r="AF20" s="81">
        <f t="shared" si="7"/>
        <v>13</v>
      </c>
    </row>
    <row r="21" spans="1:32" ht="27" customHeight="1">
      <c r="A21" s="93">
        <v>14</v>
      </c>
      <c r="B21" s="11" t="s">
        <v>57</v>
      </c>
      <c r="C21" s="11" t="s">
        <v>129</v>
      </c>
      <c r="D21" s="52" t="s">
        <v>147</v>
      </c>
      <c r="E21" s="53" t="s">
        <v>589</v>
      </c>
      <c r="F21" s="30" t="s">
        <v>130</v>
      </c>
      <c r="G21" s="33">
        <v>1</v>
      </c>
      <c r="H21" s="35">
        <v>24</v>
      </c>
      <c r="I21" s="7">
        <v>2500</v>
      </c>
      <c r="J21" s="14">
        <v>1002</v>
      </c>
      <c r="K21" s="15">
        <f>L21</f>
        <v>1002</v>
      </c>
      <c r="L21" s="15">
        <f>804+198</f>
        <v>1002</v>
      </c>
      <c r="M21" s="15">
        <f t="shared" si="0"/>
        <v>1002</v>
      </c>
      <c r="N21" s="15">
        <v>0</v>
      </c>
      <c r="O21" s="58">
        <f t="shared" si="1"/>
        <v>0</v>
      </c>
      <c r="P21" s="39">
        <f t="shared" si="2"/>
        <v>4</v>
      </c>
      <c r="Q21" s="40">
        <f t="shared" si="3"/>
        <v>20</v>
      </c>
      <c r="R21" s="7"/>
      <c r="S21" s="6">
        <v>20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0.16666666666666666</v>
      </c>
      <c r="AD21" s="10">
        <f t="shared" si="8"/>
        <v>0.16666666666666666</v>
      </c>
      <c r="AE21" s="36">
        <f t="shared" si="6"/>
        <v>0.43229166666666669</v>
      </c>
      <c r="AF21" s="81">
        <f t="shared" si="7"/>
        <v>14</v>
      </c>
    </row>
    <row r="22" spans="1:32" ht="27" customHeight="1">
      <c r="A22" s="107">
        <v>15</v>
      </c>
      <c r="B22" s="11" t="s">
        <v>57</v>
      </c>
      <c r="C22" s="11" t="s">
        <v>112</v>
      </c>
      <c r="D22" s="52" t="s">
        <v>128</v>
      </c>
      <c r="E22" s="53" t="s">
        <v>158</v>
      </c>
      <c r="F22" s="30" t="s">
        <v>124</v>
      </c>
      <c r="G22" s="33">
        <v>4</v>
      </c>
      <c r="H22" s="35">
        <v>24</v>
      </c>
      <c r="I22" s="7">
        <v>360000</v>
      </c>
      <c r="J22" s="14">
        <v>20332</v>
      </c>
      <c r="K22" s="15">
        <f>L22+16424+3460+8466+14048+14809+10420+6468+20028+25064+24256+18744+23224+19112+21656+19860+24856+20332</f>
        <v>291227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>
        <v>24</v>
      </c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0.43229166666666669</v>
      </c>
      <c r="AF22" s="81">
        <f t="shared" si="7"/>
        <v>15</v>
      </c>
    </row>
    <row r="23" spans="1:32" ht="26.25" customHeight="1">
      <c r="A23" s="93">
        <v>16</v>
      </c>
      <c r="B23" s="11" t="s">
        <v>57</v>
      </c>
      <c r="C23" s="11" t="s">
        <v>113</v>
      </c>
      <c r="D23" s="52"/>
      <c r="E23" s="53" t="s">
        <v>494</v>
      </c>
      <c r="F23" s="12" t="s">
        <v>114</v>
      </c>
      <c r="G23" s="12">
        <v>4</v>
      </c>
      <c r="H23" s="35">
        <v>20</v>
      </c>
      <c r="I23" s="7">
        <v>2000000</v>
      </c>
      <c r="J23" s="14">
        <v>64908</v>
      </c>
      <c r="K23" s="15">
        <f>L23+34748+57176</f>
        <v>156832</v>
      </c>
      <c r="L23" s="15">
        <f>8043*4+8184*4</f>
        <v>64908</v>
      </c>
      <c r="M23" s="15">
        <f t="shared" si="0"/>
        <v>64908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0.43229166666666669</v>
      </c>
      <c r="AF23" s="81">
        <f t="shared" si="7"/>
        <v>16</v>
      </c>
    </row>
    <row r="24" spans="1:32" ht="21.75" customHeight="1">
      <c r="A24" s="93">
        <v>31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ref="K24:K25" si="25"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0.43229166666666669</v>
      </c>
      <c r="AF24" s="81">
        <f t="shared" si="7"/>
        <v>31</v>
      </c>
    </row>
    <row r="25" spans="1:32" ht="21.75" customHeight="1">
      <c r="A25" s="93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si="25"/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0.43229166666666669</v>
      </c>
      <c r="AF25" s="81">
        <f t="shared" si="7"/>
        <v>32</v>
      </c>
    </row>
    <row r="26" spans="1:32" ht="21.75" customHeight="1">
      <c r="A26" s="93">
        <v>33</v>
      </c>
      <c r="B26" s="11" t="s">
        <v>57</v>
      </c>
      <c r="C26" s="11" t="s">
        <v>116</v>
      </c>
      <c r="D26" s="52" t="s">
        <v>170</v>
      </c>
      <c r="E26" s="53" t="s">
        <v>168</v>
      </c>
      <c r="F26" s="12" t="s">
        <v>124</v>
      </c>
      <c r="G26" s="12">
        <v>4</v>
      </c>
      <c r="H26" s="35">
        <v>20</v>
      </c>
      <c r="I26" s="7">
        <v>60000</v>
      </c>
      <c r="J26" s="14">
        <v>28124</v>
      </c>
      <c r="K26" s="15">
        <f>L26+23172+28124+27392</f>
        <v>78688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0.43229166666666669</v>
      </c>
      <c r="AF26" s="81">
        <f t="shared" si="7"/>
        <v>33</v>
      </c>
    </row>
    <row r="27" spans="1:32" ht="21.75" customHeight="1">
      <c r="A27" s="93">
        <v>34</v>
      </c>
      <c r="B27" s="11" t="s">
        <v>57</v>
      </c>
      <c r="C27" s="11" t="s">
        <v>116</v>
      </c>
      <c r="D27" s="52" t="s">
        <v>131</v>
      </c>
      <c r="E27" s="53" t="s">
        <v>134</v>
      </c>
      <c r="F27" s="12" t="s">
        <v>125</v>
      </c>
      <c r="G27" s="12">
        <v>4</v>
      </c>
      <c r="H27" s="35">
        <v>20</v>
      </c>
      <c r="I27" s="7">
        <v>60000</v>
      </c>
      <c r="J27" s="14">
        <v>26768</v>
      </c>
      <c r="K27" s="15">
        <f>L27+24016+26768+22600</f>
        <v>73384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0.43229166666666669</v>
      </c>
      <c r="AF27" s="81">
        <f t="shared" si="7"/>
        <v>34</v>
      </c>
    </row>
    <row r="28" spans="1:32" ht="21.75" customHeight="1">
      <c r="A28" s="93">
        <v>35</v>
      </c>
      <c r="B28" s="11" t="s">
        <v>57</v>
      </c>
      <c r="C28" s="11" t="s">
        <v>116</v>
      </c>
      <c r="D28" s="52" t="s">
        <v>121</v>
      </c>
      <c r="E28" s="53" t="s">
        <v>126</v>
      </c>
      <c r="F28" s="12" t="s">
        <v>125</v>
      </c>
      <c r="G28" s="12">
        <v>4</v>
      </c>
      <c r="H28" s="35">
        <v>20</v>
      </c>
      <c r="I28" s="7">
        <v>60000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0.43229166666666669</v>
      </c>
      <c r="AF28" s="81">
        <f t="shared" si="7"/>
        <v>35</v>
      </c>
    </row>
    <row r="29" spans="1:32" ht="21.75" customHeight="1" thickBot="1">
      <c r="A29" s="93">
        <v>36</v>
      </c>
      <c r="B29" s="11" t="s">
        <v>57</v>
      </c>
      <c r="C29" s="11" t="s">
        <v>116</v>
      </c>
      <c r="D29" s="52" t="s">
        <v>115</v>
      </c>
      <c r="E29" s="53" t="s">
        <v>169</v>
      </c>
      <c r="F29" s="12" t="s">
        <v>144</v>
      </c>
      <c r="G29" s="12">
        <v>4</v>
      </c>
      <c r="H29" s="35">
        <v>20</v>
      </c>
      <c r="I29" s="7">
        <v>60000</v>
      </c>
      <c r="J29" s="14">
        <v>26192</v>
      </c>
      <c r="K29" s="15">
        <f>L29+20088+26192+24640</f>
        <v>70920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5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0.43229166666666669</v>
      </c>
      <c r="AF29" s="81">
        <f t="shared" si="7"/>
        <v>36</v>
      </c>
    </row>
    <row r="30" spans="1:32" ht="19.5" thickBot="1">
      <c r="A30" s="384" t="s">
        <v>34</v>
      </c>
      <c r="B30" s="385"/>
      <c r="C30" s="385"/>
      <c r="D30" s="385"/>
      <c r="E30" s="385"/>
      <c r="F30" s="385"/>
      <c r="G30" s="385"/>
      <c r="H30" s="386"/>
      <c r="I30" s="22">
        <f t="shared" ref="I30:N30" si="26">SUM(I6:I29)</f>
        <v>4573700</v>
      </c>
      <c r="J30" s="19">
        <f t="shared" si="26"/>
        <v>621937</v>
      </c>
      <c r="K30" s="20">
        <f t="shared" si="26"/>
        <v>2403852</v>
      </c>
      <c r="L30" s="21">
        <f t="shared" si="26"/>
        <v>488106</v>
      </c>
      <c r="M30" s="20">
        <f t="shared" si="26"/>
        <v>488106</v>
      </c>
      <c r="N30" s="21">
        <f t="shared" si="26"/>
        <v>0</v>
      </c>
      <c r="O30" s="41">
        <f t="shared" si="1"/>
        <v>0</v>
      </c>
      <c r="P30" s="42">
        <f t="shared" ref="P30:AA30" si="27">SUM(P6:P29)</f>
        <v>249</v>
      </c>
      <c r="Q30" s="43">
        <f t="shared" si="27"/>
        <v>327</v>
      </c>
      <c r="R30" s="23">
        <f t="shared" si="27"/>
        <v>24</v>
      </c>
      <c r="S30" s="24">
        <f t="shared" si="27"/>
        <v>29</v>
      </c>
      <c r="T30" s="24">
        <f t="shared" si="27"/>
        <v>6</v>
      </c>
      <c r="U30" s="24">
        <f t="shared" si="27"/>
        <v>0</v>
      </c>
      <c r="V30" s="25">
        <f t="shared" si="27"/>
        <v>0</v>
      </c>
      <c r="W30" s="26">
        <f t="shared" si="27"/>
        <v>268</v>
      </c>
      <c r="X30" s="27">
        <f t="shared" si="27"/>
        <v>0</v>
      </c>
      <c r="Y30" s="27">
        <f t="shared" si="27"/>
        <v>0</v>
      </c>
      <c r="Z30" s="27">
        <f t="shared" si="27"/>
        <v>0</v>
      </c>
      <c r="AA30" s="27">
        <f t="shared" si="27"/>
        <v>0</v>
      </c>
      <c r="AB30" s="28">
        <f>AVERAGE(AB6:AB29)</f>
        <v>0.68181818181818177</v>
      </c>
      <c r="AC30" s="4">
        <f>AVERAGE(AC6:AC29)</f>
        <v>0.43229166666666669</v>
      </c>
      <c r="AD30" s="4">
        <f>AVERAGE(AD6:AD29)</f>
        <v>0.43229166666666669</v>
      </c>
      <c r="AE30" s="29"/>
    </row>
    <row r="31" spans="1:32">
      <c r="T31" s="50" t="s">
        <v>132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133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387" t="s">
        <v>45</v>
      </c>
      <c r="B57" s="387"/>
      <c r="C57" s="387"/>
      <c r="D57" s="387"/>
      <c r="E57" s="387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388" t="s">
        <v>590</v>
      </c>
      <c r="B58" s="389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90"/>
      <c r="N58" s="391" t="s">
        <v>605</v>
      </c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  <c r="AA58" s="392"/>
      <c r="AB58" s="392"/>
      <c r="AC58" s="392"/>
      <c r="AD58" s="393"/>
    </row>
    <row r="59" spans="1:32" ht="27" customHeight="1">
      <c r="A59" s="394" t="s">
        <v>2</v>
      </c>
      <c r="B59" s="395"/>
      <c r="C59" s="264" t="s">
        <v>46</v>
      </c>
      <c r="D59" s="264" t="s">
        <v>47</v>
      </c>
      <c r="E59" s="264" t="s">
        <v>107</v>
      </c>
      <c r="F59" s="396" t="s">
        <v>106</v>
      </c>
      <c r="G59" s="397"/>
      <c r="H59" s="397"/>
      <c r="I59" s="397"/>
      <c r="J59" s="397"/>
      <c r="K59" s="397"/>
      <c r="L59" s="397"/>
      <c r="M59" s="398"/>
      <c r="N59" s="67" t="s">
        <v>110</v>
      </c>
      <c r="O59" s="264" t="s">
        <v>46</v>
      </c>
      <c r="P59" s="396" t="s">
        <v>47</v>
      </c>
      <c r="Q59" s="399"/>
      <c r="R59" s="396" t="s">
        <v>38</v>
      </c>
      <c r="S59" s="397"/>
      <c r="T59" s="397"/>
      <c r="U59" s="399"/>
      <c r="V59" s="396" t="s">
        <v>48</v>
      </c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410" t="s">
        <v>112</v>
      </c>
      <c r="B60" s="411"/>
      <c r="C60" s="266" t="s">
        <v>151</v>
      </c>
      <c r="D60" s="266" t="s">
        <v>115</v>
      </c>
      <c r="E60" s="266" t="s">
        <v>289</v>
      </c>
      <c r="F60" s="412" t="s">
        <v>220</v>
      </c>
      <c r="G60" s="413"/>
      <c r="H60" s="413"/>
      <c r="I60" s="413"/>
      <c r="J60" s="413"/>
      <c r="K60" s="413"/>
      <c r="L60" s="413"/>
      <c r="M60" s="414"/>
      <c r="N60" s="265" t="s">
        <v>606</v>
      </c>
      <c r="O60" s="272" t="s">
        <v>593</v>
      </c>
      <c r="P60" s="415" t="s">
        <v>115</v>
      </c>
      <c r="Q60" s="416"/>
      <c r="R60" s="415" t="s">
        <v>607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129</v>
      </c>
      <c r="B61" s="411"/>
      <c r="C61" s="266" t="s">
        <v>253</v>
      </c>
      <c r="D61" s="266" t="s">
        <v>115</v>
      </c>
      <c r="E61" s="266" t="s">
        <v>478</v>
      </c>
      <c r="F61" s="412" t="s">
        <v>220</v>
      </c>
      <c r="G61" s="413"/>
      <c r="H61" s="413"/>
      <c r="I61" s="413"/>
      <c r="J61" s="413"/>
      <c r="K61" s="413"/>
      <c r="L61" s="413"/>
      <c r="M61" s="414"/>
      <c r="N61" s="265" t="s">
        <v>609</v>
      </c>
      <c r="O61" s="272" t="s">
        <v>600</v>
      </c>
      <c r="P61" s="415"/>
      <c r="Q61" s="416"/>
      <c r="R61" s="415" t="s">
        <v>608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592</v>
      </c>
      <c r="B62" s="411"/>
      <c r="C62" s="266" t="s">
        <v>593</v>
      </c>
      <c r="D62" s="266" t="s">
        <v>594</v>
      </c>
      <c r="E62" s="266" t="s">
        <v>591</v>
      </c>
      <c r="F62" s="412" t="s">
        <v>122</v>
      </c>
      <c r="G62" s="413"/>
      <c r="H62" s="413"/>
      <c r="I62" s="413"/>
      <c r="J62" s="413"/>
      <c r="K62" s="413"/>
      <c r="L62" s="413"/>
      <c r="M62" s="414"/>
      <c r="N62" s="265" t="s">
        <v>611</v>
      </c>
      <c r="O62" s="272" t="s">
        <v>612</v>
      </c>
      <c r="P62" s="415" t="s">
        <v>594</v>
      </c>
      <c r="Q62" s="416"/>
      <c r="R62" s="415" t="s">
        <v>610</v>
      </c>
      <c r="S62" s="417"/>
      <c r="T62" s="417"/>
      <c r="U62" s="416"/>
      <c r="V62" s="412" t="s">
        <v>122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66" t="s">
        <v>152</v>
      </c>
      <c r="D63" s="266" t="s">
        <v>595</v>
      </c>
      <c r="E63" s="266" t="s">
        <v>596</v>
      </c>
      <c r="F63" s="412" t="s">
        <v>597</v>
      </c>
      <c r="G63" s="413"/>
      <c r="H63" s="413"/>
      <c r="I63" s="413"/>
      <c r="J63" s="413"/>
      <c r="K63" s="413"/>
      <c r="L63" s="413"/>
      <c r="M63" s="414"/>
      <c r="N63" s="265" t="s">
        <v>606</v>
      </c>
      <c r="O63" s="272" t="s">
        <v>603</v>
      </c>
      <c r="P63" s="415" t="s">
        <v>601</v>
      </c>
      <c r="Q63" s="416"/>
      <c r="R63" s="415" t="s">
        <v>613</v>
      </c>
      <c r="S63" s="417"/>
      <c r="T63" s="417"/>
      <c r="U63" s="416"/>
      <c r="V63" s="412" t="s">
        <v>122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266" t="s">
        <v>599</v>
      </c>
      <c r="D64" s="266" t="s">
        <v>115</v>
      </c>
      <c r="E64" s="266" t="s">
        <v>598</v>
      </c>
      <c r="F64" s="412" t="s">
        <v>122</v>
      </c>
      <c r="G64" s="413"/>
      <c r="H64" s="413"/>
      <c r="I64" s="413"/>
      <c r="J64" s="413"/>
      <c r="K64" s="413"/>
      <c r="L64" s="413"/>
      <c r="M64" s="414"/>
      <c r="N64" s="265"/>
      <c r="O64" s="272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129</v>
      </c>
      <c r="B65" s="411"/>
      <c r="C65" s="266" t="s">
        <v>600</v>
      </c>
      <c r="D65" s="266" t="s">
        <v>601</v>
      </c>
      <c r="E65" s="266" t="s">
        <v>587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265"/>
      <c r="O65" s="272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10" t="s">
        <v>129</v>
      </c>
      <c r="B66" s="411"/>
      <c r="C66" s="266" t="s">
        <v>603</v>
      </c>
      <c r="D66" s="266" t="s">
        <v>604</v>
      </c>
      <c r="E66" s="266" t="s">
        <v>589</v>
      </c>
      <c r="F66" s="412" t="s">
        <v>602</v>
      </c>
      <c r="G66" s="413"/>
      <c r="H66" s="413"/>
      <c r="I66" s="413"/>
      <c r="J66" s="413"/>
      <c r="K66" s="413"/>
      <c r="L66" s="413"/>
      <c r="M66" s="414"/>
      <c r="N66" s="265"/>
      <c r="O66" s="272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269"/>
      <c r="D67" s="269"/>
      <c r="E67" s="266"/>
      <c r="F67" s="412"/>
      <c r="G67" s="413"/>
      <c r="H67" s="413"/>
      <c r="I67" s="413"/>
      <c r="J67" s="413"/>
      <c r="K67" s="413"/>
      <c r="L67" s="413"/>
      <c r="M67" s="414"/>
      <c r="N67" s="265"/>
      <c r="O67" s="272"/>
      <c r="P67" s="415"/>
      <c r="Q67" s="416"/>
      <c r="R67" s="415"/>
      <c r="S67" s="417"/>
      <c r="T67" s="417"/>
      <c r="U67" s="416"/>
      <c r="V67" s="412"/>
      <c r="W67" s="413"/>
      <c r="X67" s="413"/>
      <c r="Y67" s="413"/>
      <c r="Z67" s="413"/>
      <c r="AA67" s="413"/>
      <c r="AB67" s="413"/>
      <c r="AC67" s="413"/>
      <c r="AD67" s="414"/>
    </row>
    <row r="68" spans="1:32" ht="27" customHeight="1">
      <c r="A68" s="426"/>
      <c r="B68" s="427"/>
      <c r="C68" s="269"/>
      <c r="D68" s="269"/>
      <c r="E68" s="266"/>
      <c r="F68" s="412"/>
      <c r="G68" s="413"/>
      <c r="H68" s="413"/>
      <c r="I68" s="413"/>
      <c r="J68" s="413"/>
      <c r="K68" s="413"/>
      <c r="L68" s="413"/>
      <c r="M68" s="414"/>
      <c r="N68" s="265"/>
      <c r="O68" s="272"/>
      <c r="P68" s="411"/>
      <c r="Q68" s="411"/>
      <c r="R68" s="411"/>
      <c r="S68" s="411"/>
      <c r="T68" s="411"/>
      <c r="U68" s="411"/>
      <c r="V68" s="412"/>
      <c r="W68" s="413"/>
      <c r="X68" s="413"/>
      <c r="Y68" s="413"/>
      <c r="Z68" s="413"/>
      <c r="AA68" s="413"/>
      <c r="AB68" s="413"/>
      <c r="AC68" s="413"/>
      <c r="AD68" s="414"/>
      <c r="AF68" s="81">
        <f>8*3000</f>
        <v>24000</v>
      </c>
    </row>
    <row r="69" spans="1:32" ht="27" customHeight="1" thickBot="1">
      <c r="A69" s="418"/>
      <c r="B69" s="419"/>
      <c r="C69" s="267"/>
      <c r="D69" s="268"/>
      <c r="E69" s="267"/>
      <c r="F69" s="420"/>
      <c r="G69" s="421"/>
      <c r="H69" s="421"/>
      <c r="I69" s="421"/>
      <c r="J69" s="421"/>
      <c r="K69" s="421"/>
      <c r="L69" s="421"/>
      <c r="M69" s="422"/>
      <c r="N69" s="106"/>
      <c r="O69" s="98"/>
      <c r="P69" s="423"/>
      <c r="Q69" s="423"/>
      <c r="R69" s="423"/>
      <c r="S69" s="423"/>
      <c r="T69" s="423"/>
      <c r="U69" s="423"/>
      <c r="V69" s="424"/>
      <c r="W69" s="424"/>
      <c r="X69" s="424"/>
      <c r="Y69" s="424"/>
      <c r="Z69" s="424"/>
      <c r="AA69" s="424"/>
      <c r="AB69" s="424"/>
      <c r="AC69" s="424"/>
      <c r="AD69" s="425"/>
      <c r="AF69" s="81">
        <f>16*3000</f>
        <v>48000</v>
      </c>
    </row>
    <row r="70" spans="1:32" ht="27.75" thickBot="1">
      <c r="A70" s="428" t="s">
        <v>614</v>
      </c>
      <c r="B70" s="428"/>
      <c r="C70" s="428"/>
      <c r="D70" s="428"/>
      <c r="E70" s="428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29" t="s">
        <v>111</v>
      </c>
      <c r="B71" s="430"/>
      <c r="C71" s="270" t="s">
        <v>2</v>
      </c>
      <c r="D71" s="270" t="s">
        <v>37</v>
      </c>
      <c r="E71" s="270" t="s">
        <v>3</v>
      </c>
      <c r="F71" s="430" t="s">
        <v>109</v>
      </c>
      <c r="G71" s="430"/>
      <c r="H71" s="430"/>
      <c r="I71" s="430"/>
      <c r="J71" s="430"/>
      <c r="K71" s="430" t="s">
        <v>39</v>
      </c>
      <c r="L71" s="430"/>
      <c r="M71" s="270" t="s">
        <v>40</v>
      </c>
      <c r="N71" s="430" t="s">
        <v>41</v>
      </c>
      <c r="O71" s="430"/>
      <c r="P71" s="431" t="s">
        <v>42</v>
      </c>
      <c r="Q71" s="432"/>
      <c r="R71" s="431" t="s">
        <v>43</v>
      </c>
      <c r="S71" s="433"/>
      <c r="T71" s="433"/>
      <c r="U71" s="433"/>
      <c r="V71" s="433"/>
      <c r="W71" s="433"/>
      <c r="X71" s="433"/>
      <c r="Y71" s="433"/>
      <c r="Z71" s="433"/>
      <c r="AA71" s="432"/>
      <c r="AB71" s="430" t="s">
        <v>44</v>
      </c>
      <c r="AC71" s="430"/>
      <c r="AD71" s="434"/>
      <c r="AF71" s="81">
        <f>SUM(AF68:AF70)</f>
        <v>96000</v>
      </c>
    </row>
    <row r="72" spans="1:32" ht="25.5" customHeight="1">
      <c r="A72" s="435">
        <v>1</v>
      </c>
      <c r="B72" s="436"/>
      <c r="C72" s="99" t="s">
        <v>112</v>
      </c>
      <c r="D72" s="274"/>
      <c r="E72" s="271" t="s">
        <v>121</v>
      </c>
      <c r="F72" s="437" t="s">
        <v>615</v>
      </c>
      <c r="G72" s="438"/>
      <c r="H72" s="438"/>
      <c r="I72" s="438"/>
      <c r="J72" s="438"/>
      <c r="K72" s="438" t="s">
        <v>130</v>
      </c>
      <c r="L72" s="438"/>
      <c r="M72" s="51" t="s">
        <v>577</v>
      </c>
      <c r="N72" s="439" t="s">
        <v>181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2</v>
      </c>
      <c r="B73" s="436"/>
      <c r="C73" s="99" t="s">
        <v>112</v>
      </c>
      <c r="D73" s="274"/>
      <c r="E73" s="271" t="s">
        <v>620</v>
      </c>
      <c r="F73" s="437" t="s">
        <v>616</v>
      </c>
      <c r="G73" s="438"/>
      <c r="H73" s="438"/>
      <c r="I73" s="438"/>
      <c r="J73" s="438"/>
      <c r="K73" s="438" t="s">
        <v>622</v>
      </c>
      <c r="L73" s="438"/>
      <c r="M73" s="51" t="s">
        <v>623</v>
      </c>
      <c r="N73" s="439" t="s">
        <v>612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3</v>
      </c>
      <c r="B74" s="436"/>
      <c r="C74" s="99" t="s">
        <v>112</v>
      </c>
      <c r="D74" s="274"/>
      <c r="E74" s="271" t="s">
        <v>594</v>
      </c>
      <c r="F74" s="437" t="s">
        <v>617</v>
      </c>
      <c r="G74" s="438"/>
      <c r="H74" s="438"/>
      <c r="I74" s="438"/>
      <c r="J74" s="438"/>
      <c r="K74" s="438" t="s">
        <v>622</v>
      </c>
      <c r="L74" s="438"/>
      <c r="M74" s="51" t="s">
        <v>623</v>
      </c>
      <c r="N74" s="439" t="s">
        <v>612</v>
      </c>
      <c r="O74" s="439"/>
      <c r="P74" s="440">
        <v>50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4</v>
      </c>
      <c r="B75" s="436"/>
      <c r="C75" s="99" t="s">
        <v>619</v>
      </c>
      <c r="D75" s="274"/>
      <c r="E75" s="271" t="s">
        <v>621</v>
      </c>
      <c r="F75" s="443" t="s">
        <v>618</v>
      </c>
      <c r="G75" s="444"/>
      <c r="H75" s="444"/>
      <c r="I75" s="444"/>
      <c r="J75" s="445"/>
      <c r="K75" s="438" t="s">
        <v>624</v>
      </c>
      <c r="L75" s="438"/>
      <c r="M75" s="51" t="s">
        <v>623</v>
      </c>
      <c r="N75" s="439" t="s">
        <v>612</v>
      </c>
      <c r="O75" s="439"/>
      <c r="P75" s="440">
        <v>100</v>
      </c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5</v>
      </c>
      <c r="B76" s="436"/>
      <c r="C76" s="99"/>
      <c r="D76" s="274"/>
      <c r="E76" s="271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6</v>
      </c>
      <c r="B77" s="436"/>
      <c r="C77" s="99"/>
      <c r="D77" s="274"/>
      <c r="E77" s="271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7</v>
      </c>
      <c r="B78" s="436"/>
      <c r="C78" s="99"/>
      <c r="D78" s="274"/>
      <c r="E78" s="271"/>
      <c r="F78" s="443"/>
      <c r="G78" s="444"/>
      <c r="H78" s="444"/>
      <c r="I78" s="444"/>
      <c r="J78" s="445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8</v>
      </c>
      <c r="B79" s="436"/>
      <c r="C79" s="99"/>
      <c r="D79" s="274"/>
      <c r="E79" s="271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9</v>
      </c>
      <c r="B80" s="436"/>
      <c r="C80" s="99"/>
      <c r="D80" s="274"/>
      <c r="E80" s="271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5.5" customHeight="1">
      <c r="A81" s="435">
        <v>10</v>
      </c>
      <c r="B81" s="436"/>
      <c r="C81" s="99"/>
      <c r="D81" s="274"/>
      <c r="E81" s="271"/>
      <c r="F81" s="437"/>
      <c r="G81" s="438"/>
      <c r="H81" s="438"/>
      <c r="I81" s="438"/>
      <c r="J81" s="438"/>
      <c r="K81" s="438"/>
      <c r="L81" s="438"/>
      <c r="M81" s="51"/>
      <c r="N81" s="439"/>
      <c r="O81" s="439"/>
      <c r="P81" s="440"/>
      <c r="Q81" s="440"/>
      <c r="R81" s="441"/>
      <c r="S81" s="441"/>
      <c r="T81" s="441"/>
      <c r="U81" s="441"/>
      <c r="V81" s="441"/>
      <c r="W81" s="441"/>
      <c r="X81" s="441"/>
      <c r="Y81" s="441"/>
      <c r="Z81" s="441"/>
      <c r="AA81" s="441"/>
      <c r="AB81" s="438"/>
      <c r="AC81" s="438"/>
      <c r="AD81" s="442"/>
      <c r="AF81" s="50"/>
    </row>
    <row r="82" spans="1:32" ht="26.25" customHeight="1" thickBot="1">
      <c r="A82" s="446" t="s">
        <v>625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47" t="s">
        <v>111</v>
      </c>
      <c r="B83" s="448"/>
      <c r="C83" s="273" t="s">
        <v>2</v>
      </c>
      <c r="D83" s="273" t="s">
        <v>37</v>
      </c>
      <c r="E83" s="273" t="s">
        <v>120</v>
      </c>
      <c r="F83" s="449" t="s">
        <v>38</v>
      </c>
      <c r="G83" s="449"/>
      <c r="H83" s="449"/>
      <c r="I83" s="449"/>
      <c r="J83" s="449"/>
      <c r="K83" s="450" t="s">
        <v>58</v>
      </c>
      <c r="L83" s="451"/>
      <c r="M83" s="451"/>
      <c r="N83" s="451"/>
      <c r="O83" s="451"/>
      <c r="P83" s="451"/>
      <c r="Q83" s="451"/>
      <c r="R83" s="451"/>
      <c r="S83" s="452"/>
      <c r="T83" s="449" t="s">
        <v>49</v>
      </c>
      <c r="U83" s="449"/>
      <c r="V83" s="450" t="s">
        <v>50</v>
      </c>
      <c r="W83" s="452"/>
      <c r="X83" s="451" t="s">
        <v>51</v>
      </c>
      <c r="Y83" s="451"/>
      <c r="Z83" s="451"/>
      <c r="AA83" s="451"/>
      <c r="AB83" s="451"/>
      <c r="AC83" s="451"/>
      <c r="AD83" s="453"/>
      <c r="AF83" s="50"/>
    </row>
    <row r="84" spans="1:32" ht="33.75" customHeight="1">
      <c r="A84" s="462">
        <v>1</v>
      </c>
      <c r="B84" s="463"/>
      <c r="C84" s="275"/>
      <c r="D84" s="275"/>
      <c r="E84" s="65"/>
      <c r="F84" s="464"/>
      <c r="G84" s="465"/>
      <c r="H84" s="465"/>
      <c r="I84" s="465"/>
      <c r="J84" s="466"/>
      <c r="K84" s="467"/>
      <c r="L84" s="468"/>
      <c r="M84" s="468"/>
      <c r="N84" s="468"/>
      <c r="O84" s="468"/>
      <c r="P84" s="468"/>
      <c r="Q84" s="468"/>
      <c r="R84" s="468"/>
      <c r="S84" s="469"/>
      <c r="T84" s="470"/>
      <c r="U84" s="471"/>
      <c r="V84" s="472"/>
      <c r="W84" s="472"/>
      <c r="X84" s="473"/>
      <c r="Y84" s="473"/>
      <c r="Z84" s="473"/>
      <c r="AA84" s="473"/>
      <c r="AB84" s="473"/>
      <c r="AC84" s="473"/>
      <c r="AD84" s="474"/>
      <c r="AF84" s="50"/>
    </row>
    <row r="85" spans="1:32" ht="30" customHeight="1">
      <c r="A85" s="454">
        <f>A84+1</f>
        <v>2</v>
      </c>
      <c r="B85" s="455"/>
      <c r="C85" s="274"/>
      <c r="D85" s="274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ref="A86:A90" si="28">A85+1</f>
        <v>3</v>
      </c>
      <c r="B86" s="455"/>
      <c r="C86" s="274"/>
      <c r="D86" s="274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8"/>
        <v>4</v>
      </c>
      <c r="B87" s="455"/>
      <c r="C87" s="274"/>
      <c r="D87" s="274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8"/>
        <v>5</v>
      </c>
      <c r="B88" s="455"/>
      <c r="C88" s="274"/>
      <c r="D88" s="274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8"/>
        <v>6</v>
      </c>
      <c r="B89" s="455"/>
      <c r="C89" s="274"/>
      <c r="D89" s="274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0" customHeight="1">
      <c r="A90" s="454">
        <f t="shared" si="28"/>
        <v>7</v>
      </c>
      <c r="B90" s="455"/>
      <c r="C90" s="274"/>
      <c r="D90" s="274"/>
      <c r="E90" s="32"/>
      <c r="F90" s="455"/>
      <c r="G90" s="455"/>
      <c r="H90" s="455"/>
      <c r="I90" s="455"/>
      <c r="J90" s="455"/>
      <c r="K90" s="456"/>
      <c r="L90" s="457"/>
      <c r="M90" s="457"/>
      <c r="N90" s="457"/>
      <c r="O90" s="457"/>
      <c r="P90" s="457"/>
      <c r="Q90" s="457"/>
      <c r="R90" s="457"/>
      <c r="S90" s="458"/>
      <c r="T90" s="459"/>
      <c r="U90" s="459"/>
      <c r="V90" s="459"/>
      <c r="W90" s="459"/>
      <c r="X90" s="460"/>
      <c r="Y90" s="460"/>
      <c r="Z90" s="460"/>
      <c r="AA90" s="460"/>
      <c r="AB90" s="460"/>
      <c r="AC90" s="460"/>
      <c r="AD90" s="461"/>
      <c r="AF90" s="50"/>
    </row>
    <row r="91" spans="1:32" ht="36" thickBot="1">
      <c r="A91" s="446" t="s">
        <v>626</v>
      </c>
      <c r="B91" s="446"/>
      <c r="C91" s="446"/>
      <c r="D91" s="446"/>
      <c r="E91" s="446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75" t="s">
        <v>111</v>
      </c>
      <c r="B92" s="449"/>
      <c r="C92" s="476" t="s">
        <v>52</v>
      </c>
      <c r="D92" s="476"/>
      <c r="E92" s="476" t="s">
        <v>53</v>
      </c>
      <c r="F92" s="476"/>
      <c r="G92" s="476"/>
      <c r="H92" s="476"/>
      <c r="I92" s="476"/>
      <c r="J92" s="476"/>
      <c r="K92" s="476" t="s">
        <v>54</v>
      </c>
      <c r="L92" s="476"/>
      <c r="M92" s="476"/>
      <c r="N92" s="476"/>
      <c r="O92" s="476"/>
      <c r="P92" s="476"/>
      <c r="Q92" s="476"/>
      <c r="R92" s="476"/>
      <c r="S92" s="476"/>
      <c r="T92" s="476" t="s">
        <v>55</v>
      </c>
      <c r="U92" s="476"/>
      <c r="V92" s="476" t="s">
        <v>56</v>
      </c>
      <c r="W92" s="476"/>
      <c r="X92" s="476"/>
      <c r="Y92" s="476" t="s">
        <v>51</v>
      </c>
      <c r="Z92" s="476"/>
      <c r="AA92" s="476"/>
      <c r="AB92" s="476"/>
      <c r="AC92" s="476"/>
      <c r="AD92" s="477"/>
      <c r="AF92" s="50"/>
    </row>
    <row r="93" spans="1:32" ht="30.75" customHeight="1">
      <c r="A93" s="462">
        <v>1</v>
      </c>
      <c r="B93" s="463"/>
      <c r="C93" s="478"/>
      <c r="D93" s="478"/>
      <c r="E93" s="478"/>
      <c r="F93" s="478"/>
      <c r="G93" s="478"/>
      <c r="H93" s="478"/>
      <c r="I93" s="478"/>
      <c r="J93" s="478"/>
      <c r="K93" s="478"/>
      <c r="L93" s="478"/>
      <c r="M93" s="478"/>
      <c r="N93" s="478"/>
      <c r="O93" s="478"/>
      <c r="P93" s="478"/>
      <c r="Q93" s="478"/>
      <c r="R93" s="478"/>
      <c r="S93" s="478"/>
      <c r="T93" s="478"/>
      <c r="U93" s="478"/>
      <c r="V93" s="479"/>
      <c r="W93" s="479"/>
      <c r="X93" s="479"/>
      <c r="Y93" s="480"/>
      <c r="Z93" s="480"/>
      <c r="AA93" s="480"/>
      <c r="AB93" s="480"/>
      <c r="AC93" s="480"/>
      <c r="AD93" s="481"/>
      <c r="AF93" s="50"/>
    </row>
    <row r="94" spans="1:32" ht="30.75" customHeight="1">
      <c r="A94" s="454">
        <v>2</v>
      </c>
      <c r="B94" s="455"/>
      <c r="C94" s="490"/>
      <c r="D94" s="490"/>
      <c r="E94" s="490"/>
      <c r="F94" s="490"/>
      <c r="G94" s="490"/>
      <c r="H94" s="490"/>
      <c r="I94" s="490"/>
      <c r="J94" s="490"/>
      <c r="K94" s="490"/>
      <c r="L94" s="490"/>
      <c r="M94" s="490"/>
      <c r="N94" s="490"/>
      <c r="O94" s="490"/>
      <c r="P94" s="490"/>
      <c r="Q94" s="490"/>
      <c r="R94" s="490"/>
      <c r="S94" s="490"/>
      <c r="T94" s="491"/>
      <c r="U94" s="491"/>
      <c r="V94" s="492"/>
      <c r="W94" s="492"/>
      <c r="X94" s="492"/>
      <c r="Y94" s="482"/>
      <c r="Z94" s="482"/>
      <c r="AA94" s="482"/>
      <c r="AB94" s="482"/>
      <c r="AC94" s="482"/>
      <c r="AD94" s="483"/>
      <c r="AF94" s="50"/>
    </row>
    <row r="95" spans="1:32" ht="30.75" customHeight="1" thickBot="1">
      <c r="A95" s="484">
        <v>3</v>
      </c>
      <c r="B95" s="485"/>
      <c r="C95" s="486"/>
      <c r="D95" s="486"/>
      <c r="E95" s="486"/>
      <c r="F95" s="486"/>
      <c r="G95" s="486"/>
      <c r="H95" s="486"/>
      <c r="I95" s="486"/>
      <c r="J95" s="486"/>
      <c r="K95" s="486"/>
      <c r="L95" s="486"/>
      <c r="M95" s="486"/>
      <c r="N95" s="486"/>
      <c r="O95" s="486"/>
      <c r="P95" s="486"/>
      <c r="Q95" s="486"/>
      <c r="R95" s="486"/>
      <c r="S95" s="486"/>
      <c r="T95" s="486"/>
      <c r="U95" s="486"/>
      <c r="V95" s="487"/>
      <c r="W95" s="487"/>
      <c r="X95" s="487"/>
      <c r="Y95" s="488"/>
      <c r="Z95" s="488"/>
      <c r="AA95" s="488"/>
      <c r="AB95" s="488"/>
      <c r="AC95" s="488"/>
      <c r="AD95" s="489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FEC5-4739-475B-82FC-711CA5D4FBC7}">
  <sheetPr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627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115</v>
      </c>
      <c r="E6" s="53" t="s">
        <v>607</v>
      </c>
      <c r="F6" s="30" t="s">
        <v>125</v>
      </c>
      <c r="G6" s="12">
        <v>4</v>
      </c>
      <c r="H6" s="13">
        <v>24</v>
      </c>
      <c r="I6" s="31">
        <v>2000</v>
      </c>
      <c r="J6" s="14">
        <v>5300</v>
      </c>
      <c r="K6" s="15">
        <f>L6</f>
        <v>5300</v>
      </c>
      <c r="L6" s="15">
        <f>722*4+603*4</f>
        <v>5300</v>
      </c>
      <c r="M6" s="15">
        <f t="shared" ref="M6:M28" si="0">L6-N6</f>
        <v>5300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7</v>
      </c>
      <c r="Q6" s="40">
        <f t="shared" ref="Q6:Q28" si="3">SUM(R6:AA6)</f>
        <v>17</v>
      </c>
      <c r="R6" s="7"/>
      <c r="S6" s="6">
        <v>17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0.29166666666666669</v>
      </c>
      <c r="AD6" s="10">
        <f>AC6*AB6*(1-O6)</f>
        <v>0.29166666666666669</v>
      </c>
      <c r="AE6" s="36">
        <f t="shared" ref="AE6:AE28" si="6">$AD$29</f>
        <v>0.40217391304347827</v>
      </c>
      <c r="AF6" s="81">
        <f t="shared" ref="AF6:AF28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549</v>
      </c>
      <c r="F7" s="30" t="s">
        <v>145</v>
      </c>
      <c r="G7" s="12">
        <v>1</v>
      </c>
      <c r="H7" s="13">
        <v>24</v>
      </c>
      <c r="I7" s="31">
        <v>500</v>
      </c>
      <c r="J7" s="14">
        <v>2663</v>
      </c>
      <c r="K7" s="15">
        <f>L7+2663</f>
        <v>2663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ref="AD7:AD28" si="8">AC7*AB7*(1-O7)</f>
        <v>0</v>
      </c>
      <c r="AE7" s="36">
        <f t="shared" si="6"/>
        <v>0.40217391304347827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22</v>
      </c>
      <c r="I8" s="31">
        <v>73000</v>
      </c>
      <c r="J8" s="5">
        <v>9294</v>
      </c>
      <c r="K8" s="15">
        <f>L8+200+700+2634+8280</f>
        <v>21108</v>
      </c>
      <c r="L8" s="15">
        <f>2270*2+2377*2</f>
        <v>9294</v>
      </c>
      <c r="M8" s="15">
        <f t="shared" si="0"/>
        <v>9294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8"/>
        <v>1</v>
      </c>
      <c r="AE8" s="36">
        <f t="shared" si="6"/>
        <v>0.40217391304347827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112</v>
      </c>
      <c r="D9" s="52" t="s">
        <v>115</v>
      </c>
      <c r="E9" s="53" t="s">
        <v>551</v>
      </c>
      <c r="F9" s="30" t="s">
        <v>130</v>
      </c>
      <c r="G9" s="12">
        <v>1</v>
      </c>
      <c r="H9" s="13">
        <v>24</v>
      </c>
      <c r="I9" s="7">
        <v>7000</v>
      </c>
      <c r="J9" s="14">
        <v>4556</v>
      </c>
      <c r="K9" s="15">
        <f>L9+2761</f>
        <v>7317</v>
      </c>
      <c r="L9" s="15">
        <f>2242+2314</f>
        <v>4556</v>
      </c>
      <c r="M9" s="15">
        <f t="shared" si="0"/>
        <v>4556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0.40217391304347827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563</v>
      </c>
      <c r="D10" s="52"/>
      <c r="E10" s="53" t="s">
        <v>608</v>
      </c>
      <c r="F10" s="30" t="s">
        <v>282</v>
      </c>
      <c r="G10" s="33">
        <v>2</v>
      </c>
      <c r="H10" s="35">
        <v>24</v>
      </c>
      <c r="I10" s="7">
        <v>24500</v>
      </c>
      <c r="J10" s="14">
        <v>8462</v>
      </c>
      <c r="K10" s="15">
        <f>L10</f>
        <v>8462</v>
      </c>
      <c r="L10" s="15">
        <f>1852*2+2379*2</f>
        <v>8462</v>
      </c>
      <c r="M10" s="15">
        <f t="shared" si="0"/>
        <v>8462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/>
      <c r="T10" s="16">
        <v>2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si="8"/>
        <v>0.91666666666666663</v>
      </c>
      <c r="AE10" s="36">
        <f t="shared" si="6"/>
        <v>0.40217391304347827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129</v>
      </c>
      <c r="D11" s="52"/>
      <c r="E11" s="53" t="s">
        <v>485</v>
      </c>
      <c r="F11" s="30" t="s">
        <v>124</v>
      </c>
      <c r="G11" s="33">
        <v>4</v>
      </c>
      <c r="H11" s="35">
        <v>24</v>
      </c>
      <c r="I11" s="7">
        <v>100000</v>
      </c>
      <c r="J11" s="14">
        <v>29416</v>
      </c>
      <c r="K11" s="15">
        <f>L11+28416+32796+32864</f>
        <v>123492</v>
      </c>
      <c r="L11" s="15">
        <f>3919*4+3435*4</f>
        <v>29416</v>
      </c>
      <c r="M11" s="15">
        <f t="shared" si="0"/>
        <v>29416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0.40217391304347827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3987</v>
      </c>
      <c r="K12" s="15">
        <f>L12+5056+5299+5142+4725+5285+5308+3502+5153+5075+5268+5338+5267+5184+5110+5267+5309+13944+5077+5113+5283+5335+5351</f>
        <v>125378</v>
      </c>
      <c r="L12" s="15">
        <f>2579+1408</f>
        <v>3987</v>
      </c>
      <c r="M12" s="15">
        <f t="shared" si="0"/>
        <v>3987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8"/>
        <v>0.83333333333333337</v>
      </c>
      <c r="AE12" s="36">
        <f t="shared" si="6"/>
        <v>0.40217391304347827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112</v>
      </c>
      <c r="D13" s="52" t="s">
        <v>154</v>
      </c>
      <c r="E13" s="53" t="s">
        <v>486</v>
      </c>
      <c r="F13" s="30" t="s">
        <v>123</v>
      </c>
      <c r="G13" s="33">
        <v>1</v>
      </c>
      <c r="H13" s="35">
        <v>22</v>
      </c>
      <c r="I13" s="7">
        <v>32000</v>
      </c>
      <c r="J13" s="14">
        <v>5997</v>
      </c>
      <c r="K13" s="15">
        <f>L13+6014+6382+6362</f>
        <v>24755</v>
      </c>
      <c r="L13" s="15">
        <f>3061+2936</f>
        <v>5997</v>
      </c>
      <c r="M13" s="15">
        <f t="shared" si="0"/>
        <v>5997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0.40217391304347827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129</v>
      </c>
      <c r="D14" s="52"/>
      <c r="E14" s="53" t="s">
        <v>536</v>
      </c>
      <c r="F14" s="30" t="s">
        <v>282</v>
      </c>
      <c r="G14" s="33" t="s">
        <v>537</v>
      </c>
      <c r="H14" s="35">
        <v>50</v>
      </c>
      <c r="I14" s="7">
        <v>2000</v>
      </c>
      <c r="J14" s="5">
        <v>6132</v>
      </c>
      <c r="K14" s="15">
        <f>L14+5266+6132</f>
        <v>11398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0.40217391304347827</v>
      </c>
      <c r="AF14" s="81">
        <f t="shared" si="7"/>
        <v>9</v>
      </c>
    </row>
    <row r="15" spans="1:32" ht="27" customHeight="1">
      <c r="A15" s="107">
        <v>10</v>
      </c>
      <c r="B15" s="11" t="s">
        <v>57</v>
      </c>
      <c r="C15" s="34" t="s">
        <v>112</v>
      </c>
      <c r="D15" s="52" t="s">
        <v>146</v>
      </c>
      <c r="E15" s="53" t="s">
        <v>610</v>
      </c>
      <c r="F15" s="30" t="s">
        <v>148</v>
      </c>
      <c r="G15" s="12">
        <v>1</v>
      </c>
      <c r="H15" s="13">
        <v>24</v>
      </c>
      <c r="I15" s="31">
        <v>3300</v>
      </c>
      <c r="J15" s="14">
        <v>4832</v>
      </c>
      <c r="K15" s="15">
        <f>L15</f>
        <v>4832</v>
      </c>
      <c r="L15" s="15">
        <f>526*2+1890*2</f>
        <v>4832</v>
      </c>
      <c r="M15" s="15">
        <f t="shared" si="0"/>
        <v>4832</v>
      </c>
      <c r="N15" s="15">
        <v>0</v>
      </c>
      <c r="O15" s="58">
        <f t="shared" si="1"/>
        <v>0</v>
      </c>
      <c r="P15" s="39">
        <f t="shared" si="2"/>
        <v>11</v>
      </c>
      <c r="Q15" s="40">
        <f t="shared" si="3"/>
        <v>13</v>
      </c>
      <c r="R15" s="7"/>
      <c r="S15" s="6">
        <v>8</v>
      </c>
      <c r="T15" s="16"/>
      <c r="U15" s="16"/>
      <c r="V15" s="17"/>
      <c r="W15" s="5">
        <v>5</v>
      </c>
      <c r="X15" s="16"/>
      <c r="Y15" s="16"/>
      <c r="Z15" s="16"/>
      <c r="AA15" s="18"/>
      <c r="AB15" s="8">
        <f t="shared" si="4"/>
        <v>1</v>
      </c>
      <c r="AC15" s="9">
        <f t="shared" si="5"/>
        <v>0.45833333333333331</v>
      </c>
      <c r="AD15" s="10">
        <f t="shared" si="8"/>
        <v>0.45833333333333331</v>
      </c>
      <c r="AE15" s="36">
        <f t="shared" si="6"/>
        <v>0.40217391304347827</v>
      </c>
      <c r="AF15" s="81">
        <f t="shared" si="7"/>
        <v>10</v>
      </c>
    </row>
    <row r="16" spans="1:32" ht="27" customHeight="1">
      <c r="A16" s="107">
        <v>11</v>
      </c>
      <c r="B16" s="11" t="s">
        <v>57</v>
      </c>
      <c r="C16" s="34" t="s">
        <v>142</v>
      </c>
      <c r="D16" s="52"/>
      <c r="E16" s="53" t="s">
        <v>153</v>
      </c>
      <c r="F16" s="30" t="s">
        <v>143</v>
      </c>
      <c r="G16" s="12">
        <v>30</v>
      </c>
      <c r="H16" s="13">
        <v>24</v>
      </c>
      <c r="I16" s="7">
        <v>1500000</v>
      </c>
      <c r="J16" s="14">
        <v>328410</v>
      </c>
      <c r="K16" s="15">
        <f>L16+272760+336570+336810+345570</f>
        <v>1620120</v>
      </c>
      <c r="L16" s="15">
        <f>5561*30+5386*30</f>
        <v>328410</v>
      </c>
      <c r="M16" s="15">
        <f t="shared" si="0"/>
        <v>328410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0.40217391304347827</v>
      </c>
      <c r="AF16" s="81">
        <f t="shared" si="7"/>
        <v>11</v>
      </c>
    </row>
    <row r="17" spans="1:32" ht="27" customHeight="1">
      <c r="A17" s="107">
        <v>12</v>
      </c>
      <c r="B17" s="11" t="s">
        <v>57</v>
      </c>
      <c r="C17" s="34" t="s">
        <v>116</v>
      </c>
      <c r="D17" s="52" t="s">
        <v>146</v>
      </c>
      <c r="E17" s="53" t="s">
        <v>293</v>
      </c>
      <c r="F17" s="30" t="s">
        <v>278</v>
      </c>
      <c r="G17" s="12">
        <v>1</v>
      </c>
      <c r="H17" s="13">
        <v>24</v>
      </c>
      <c r="I17" s="7">
        <v>6000</v>
      </c>
      <c r="J17" s="14">
        <v>5395</v>
      </c>
      <c r="K17" s="15">
        <f>L17+5785+5395</f>
        <v>11180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0.40217391304347827</v>
      </c>
      <c r="AF17" s="81">
        <f t="shared" si="7"/>
        <v>12</v>
      </c>
    </row>
    <row r="18" spans="1:32" ht="27" customHeight="1">
      <c r="A18" s="107">
        <v>13</v>
      </c>
      <c r="B18" s="11" t="s">
        <v>57</v>
      </c>
      <c r="C18" s="34" t="s">
        <v>116</v>
      </c>
      <c r="D18" s="52" t="s">
        <v>121</v>
      </c>
      <c r="E18" s="53" t="s">
        <v>628</v>
      </c>
      <c r="F18" s="30" t="s">
        <v>144</v>
      </c>
      <c r="G18" s="12">
        <v>3</v>
      </c>
      <c r="H18" s="13">
        <v>24</v>
      </c>
      <c r="I18" s="7">
        <v>2500</v>
      </c>
      <c r="J18" s="14">
        <v>5004</v>
      </c>
      <c r="K18" s="15">
        <f>L18</f>
        <v>5004</v>
      </c>
      <c r="L18" s="15">
        <f>950*3+718*3</f>
        <v>5004</v>
      </c>
      <c r="M18" s="15">
        <f t="shared" si="0"/>
        <v>5004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>
        <v>7</v>
      </c>
      <c r="AB18" s="8">
        <f t="shared" si="4"/>
        <v>1</v>
      </c>
      <c r="AC18" s="9">
        <f t="shared" si="5"/>
        <v>0.33333333333333331</v>
      </c>
      <c r="AD18" s="10">
        <f t="shared" si="8"/>
        <v>0.33333333333333331</v>
      </c>
      <c r="AE18" s="36">
        <f t="shared" si="6"/>
        <v>0.40217391304347827</v>
      </c>
      <c r="AF18" s="81">
        <f t="shared" si="7"/>
        <v>13</v>
      </c>
    </row>
    <row r="19" spans="1:32" ht="27" customHeight="1">
      <c r="A19" s="93">
        <v>14</v>
      </c>
      <c r="B19" s="11" t="s">
        <v>57</v>
      </c>
      <c r="C19" s="11" t="s">
        <v>112</v>
      </c>
      <c r="D19" s="52" t="s">
        <v>147</v>
      </c>
      <c r="E19" s="53" t="s">
        <v>629</v>
      </c>
      <c r="F19" s="30" t="s">
        <v>130</v>
      </c>
      <c r="G19" s="33">
        <v>2</v>
      </c>
      <c r="H19" s="35">
        <v>24</v>
      </c>
      <c r="I19" s="7">
        <v>1500</v>
      </c>
      <c r="J19" s="14">
        <v>1600</v>
      </c>
      <c r="K19" s="15">
        <f>L19</f>
        <v>1600</v>
      </c>
      <c r="L19" s="15">
        <f>800*2</f>
        <v>1600</v>
      </c>
      <c r="M19" s="15">
        <f t="shared" ref="M19" si="9">L19-N19</f>
        <v>1600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5</v>
      </c>
      <c r="Q19" s="40">
        <f t="shared" ref="Q19" si="12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6">
        <f t="shared" si="6"/>
        <v>0.40217391304347827</v>
      </c>
      <c r="AF19" s="81">
        <f t="shared" ref="AF19" si="16">A19</f>
        <v>14</v>
      </c>
    </row>
    <row r="20" spans="1:32" ht="27" customHeight="1">
      <c r="A20" s="93">
        <v>14</v>
      </c>
      <c r="B20" s="11" t="s">
        <v>57</v>
      </c>
      <c r="C20" s="11" t="s">
        <v>112</v>
      </c>
      <c r="D20" s="52" t="s">
        <v>353</v>
      </c>
      <c r="E20" s="53" t="s">
        <v>630</v>
      </c>
      <c r="F20" s="30" t="s">
        <v>130</v>
      </c>
      <c r="G20" s="33">
        <v>2</v>
      </c>
      <c r="H20" s="35">
        <v>24</v>
      </c>
      <c r="I20" s="7">
        <v>1500</v>
      </c>
      <c r="J20" s="14">
        <v>1678</v>
      </c>
      <c r="K20" s="15">
        <f>L20</f>
        <v>1678</v>
      </c>
      <c r="L20" s="15">
        <f>339*2+500*2</f>
        <v>1678</v>
      </c>
      <c r="M20" s="15">
        <f t="shared" si="0"/>
        <v>1678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8"/>
        <v>0.20833333333333334</v>
      </c>
      <c r="AE20" s="36">
        <f t="shared" si="6"/>
        <v>0.40217391304347827</v>
      </c>
      <c r="AF20" s="81">
        <f t="shared" si="7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128</v>
      </c>
      <c r="E21" s="53" t="s">
        <v>158</v>
      </c>
      <c r="F21" s="30" t="s">
        <v>124</v>
      </c>
      <c r="G21" s="33">
        <v>4</v>
      </c>
      <c r="H21" s="35">
        <v>24</v>
      </c>
      <c r="I21" s="7">
        <v>360000</v>
      </c>
      <c r="J21" s="14">
        <v>20332</v>
      </c>
      <c r="K21" s="15">
        <f>L21+16424+3460+8466+14048+14809+10420+6468+20028+25064+24256+18744+23224+19112+21656+19860+24856+20332</f>
        <v>291227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>
        <v>24</v>
      </c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0.40217391304347827</v>
      </c>
      <c r="AF21" s="81">
        <f t="shared" si="7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494</v>
      </c>
      <c r="F22" s="12" t="s">
        <v>114</v>
      </c>
      <c r="G22" s="12">
        <v>4</v>
      </c>
      <c r="H22" s="35">
        <v>20</v>
      </c>
      <c r="I22" s="7">
        <v>2000000</v>
      </c>
      <c r="J22" s="14">
        <v>60896</v>
      </c>
      <c r="K22" s="15">
        <f>L22+34748+57176+64908</f>
        <v>217728</v>
      </c>
      <c r="L22" s="15">
        <f>7802*4+7422*4</f>
        <v>60896</v>
      </c>
      <c r="M22" s="15">
        <f t="shared" si="0"/>
        <v>60896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0.40217391304347827</v>
      </c>
      <c r="AF22" s="81">
        <f t="shared" si="7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0.40217391304347827</v>
      </c>
      <c r="AF23" s="81">
        <f t="shared" si="7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0.40217391304347827</v>
      </c>
      <c r="AF24" s="81">
        <f t="shared" si="7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0.40217391304347827</v>
      </c>
      <c r="AF25" s="81">
        <f t="shared" si="7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0.40217391304347827</v>
      </c>
      <c r="AF26" s="81">
        <f t="shared" si="7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0.40217391304347827</v>
      </c>
      <c r="AF27" s="81">
        <f t="shared" si="7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0.40217391304347827</v>
      </c>
      <c r="AF28" s="81">
        <f t="shared" si="7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8">SUM(I6:I28)</f>
        <v>4535800</v>
      </c>
      <c r="J29" s="19">
        <f t="shared" si="18"/>
        <v>611982</v>
      </c>
      <c r="K29" s="20">
        <f t="shared" si="18"/>
        <v>2779486</v>
      </c>
      <c r="L29" s="21">
        <f t="shared" si="18"/>
        <v>469432</v>
      </c>
      <c r="M29" s="20">
        <f t="shared" si="18"/>
        <v>469432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222</v>
      </c>
      <c r="Q29" s="43">
        <f t="shared" si="19"/>
        <v>330</v>
      </c>
      <c r="R29" s="23">
        <f t="shared" si="19"/>
        <v>24</v>
      </c>
      <c r="S29" s="24">
        <f t="shared" si="19"/>
        <v>38</v>
      </c>
      <c r="T29" s="24">
        <f t="shared" si="19"/>
        <v>2</v>
      </c>
      <c r="U29" s="24">
        <f t="shared" si="19"/>
        <v>0</v>
      </c>
      <c r="V29" s="25">
        <f t="shared" si="19"/>
        <v>0</v>
      </c>
      <c r="W29" s="26">
        <f t="shared" si="19"/>
        <v>259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7</v>
      </c>
      <c r="AB29" s="28">
        <f>AVERAGE(AB6:AB28)</f>
        <v>0.61904761904761907</v>
      </c>
      <c r="AC29" s="4">
        <f>AVERAGE(AC6:AC28)</f>
        <v>0.40217391304347827</v>
      </c>
      <c r="AD29" s="4">
        <f>AVERAGE(AD6:AD28)</f>
        <v>0.40217391304347827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631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636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277" t="s">
        <v>46</v>
      </c>
      <c r="D58" s="277" t="s">
        <v>47</v>
      </c>
      <c r="E58" s="277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277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116</v>
      </c>
      <c r="B59" s="411"/>
      <c r="C59" s="279" t="s">
        <v>152</v>
      </c>
      <c r="D59" s="279" t="s">
        <v>115</v>
      </c>
      <c r="E59" s="279" t="s">
        <v>607</v>
      </c>
      <c r="F59" s="412" t="s">
        <v>632</v>
      </c>
      <c r="G59" s="413"/>
      <c r="H59" s="413"/>
      <c r="I59" s="413"/>
      <c r="J59" s="413"/>
      <c r="K59" s="413"/>
      <c r="L59" s="413"/>
      <c r="M59" s="414"/>
      <c r="N59" s="278" t="s">
        <v>116</v>
      </c>
      <c r="O59" s="285" t="s">
        <v>637</v>
      </c>
      <c r="P59" s="415" t="s">
        <v>115</v>
      </c>
      <c r="Q59" s="416"/>
      <c r="R59" s="415" t="s">
        <v>164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116</v>
      </c>
      <c r="B60" s="411"/>
      <c r="C60" s="279" t="s">
        <v>253</v>
      </c>
      <c r="D60" s="279" t="s">
        <v>121</v>
      </c>
      <c r="E60" s="279" t="s">
        <v>628</v>
      </c>
      <c r="F60" s="412" t="s">
        <v>633</v>
      </c>
      <c r="G60" s="413"/>
      <c r="H60" s="413"/>
      <c r="I60" s="413"/>
      <c r="J60" s="413"/>
      <c r="K60" s="413"/>
      <c r="L60" s="413"/>
      <c r="M60" s="414"/>
      <c r="N60" s="278" t="s">
        <v>112</v>
      </c>
      <c r="O60" s="285" t="s">
        <v>185</v>
      </c>
      <c r="P60" s="415" t="s">
        <v>170</v>
      </c>
      <c r="Q60" s="416"/>
      <c r="R60" s="415" t="s">
        <v>339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563</v>
      </c>
      <c r="B61" s="411"/>
      <c r="C61" s="279" t="s">
        <v>181</v>
      </c>
      <c r="D61" s="279"/>
      <c r="E61" s="279" t="s">
        <v>608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278" t="s">
        <v>112</v>
      </c>
      <c r="O61" s="285" t="s">
        <v>150</v>
      </c>
      <c r="P61" s="415" t="s">
        <v>115</v>
      </c>
      <c r="Q61" s="416"/>
      <c r="R61" s="415" t="s">
        <v>639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279" t="s">
        <v>448</v>
      </c>
      <c r="D62" s="279" t="s">
        <v>146</v>
      </c>
      <c r="E62" s="279" t="s">
        <v>610</v>
      </c>
      <c r="F62" s="412" t="s">
        <v>634</v>
      </c>
      <c r="G62" s="413"/>
      <c r="H62" s="413"/>
      <c r="I62" s="413"/>
      <c r="J62" s="413"/>
      <c r="K62" s="413"/>
      <c r="L62" s="413"/>
      <c r="M62" s="414"/>
      <c r="N62" s="278"/>
      <c r="O62" s="285"/>
      <c r="P62" s="415"/>
      <c r="Q62" s="416"/>
      <c r="R62" s="415"/>
      <c r="S62" s="417"/>
      <c r="T62" s="417"/>
      <c r="U62" s="416"/>
      <c r="V62" s="412"/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79" t="s">
        <v>262</v>
      </c>
      <c r="D63" s="279" t="s">
        <v>635</v>
      </c>
      <c r="E63" s="279" t="s">
        <v>630</v>
      </c>
      <c r="F63" s="412" t="s">
        <v>149</v>
      </c>
      <c r="G63" s="413"/>
      <c r="H63" s="413"/>
      <c r="I63" s="413"/>
      <c r="J63" s="413"/>
      <c r="K63" s="413"/>
      <c r="L63" s="413"/>
      <c r="M63" s="414"/>
      <c r="N63" s="278"/>
      <c r="O63" s="285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279" t="s">
        <v>262</v>
      </c>
      <c r="D64" s="279" t="s">
        <v>147</v>
      </c>
      <c r="E64" s="279" t="s">
        <v>629</v>
      </c>
      <c r="F64" s="412" t="s">
        <v>149</v>
      </c>
      <c r="G64" s="413"/>
      <c r="H64" s="413"/>
      <c r="I64" s="413"/>
      <c r="J64" s="413"/>
      <c r="K64" s="413"/>
      <c r="L64" s="413"/>
      <c r="M64" s="414"/>
      <c r="N64" s="278"/>
      <c r="O64" s="285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116</v>
      </c>
      <c r="B65" s="411"/>
      <c r="C65" s="279" t="s">
        <v>637</v>
      </c>
      <c r="D65" s="279" t="s">
        <v>115</v>
      </c>
      <c r="E65" s="279" t="s">
        <v>164</v>
      </c>
      <c r="F65" s="412" t="s">
        <v>638</v>
      </c>
      <c r="G65" s="413"/>
      <c r="H65" s="413"/>
      <c r="I65" s="413"/>
      <c r="J65" s="413"/>
      <c r="K65" s="413"/>
      <c r="L65" s="413"/>
      <c r="M65" s="414"/>
      <c r="N65" s="278"/>
      <c r="O65" s="285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282"/>
      <c r="D66" s="282"/>
      <c r="E66" s="279"/>
      <c r="F66" s="412"/>
      <c r="G66" s="413"/>
      <c r="H66" s="413"/>
      <c r="I66" s="413"/>
      <c r="J66" s="413"/>
      <c r="K66" s="413"/>
      <c r="L66" s="413"/>
      <c r="M66" s="414"/>
      <c r="N66" s="278"/>
      <c r="O66" s="285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282"/>
      <c r="D67" s="282"/>
      <c r="E67" s="279"/>
      <c r="F67" s="412"/>
      <c r="G67" s="413"/>
      <c r="H67" s="413"/>
      <c r="I67" s="413"/>
      <c r="J67" s="413"/>
      <c r="K67" s="413"/>
      <c r="L67" s="413"/>
      <c r="M67" s="414"/>
      <c r="N67" s="278"/>
      <c r="O67" s="285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280"/>
      <c r="D68" s="281"/>
      <c r="E68" s="280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640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283" t="s">
        <v>2</v>
      </c>
      <c r="D70" s="283" t="s">
        <v>37</v>
      </c>
      <c r="E70" s="283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283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112</v>
      </c>
      <c r="D71" s="287"/>
      <c r="E71" s="284" t="s">
        <v>115</v>
      </c>
      <c r="F71" s="437" t="s">
        <v>208</v>
      </c>
      <c r="G71" s="438"/>
      <c r="H71" s="438"/>
      <c r="I71" s="438"/>
      <c r="J71" s="438"/>
      <c r="K71" s="438" t="s">
        <v>209</v>
      </c>
      <c r="L71" s="438"/>
      <c r="M71" s="51" t="s">
        <v>184</v>
      </c>
      <c r="N71" s="439" t="s">
        <v>253</v>
      </c>
      <c r="O71" s="439"/>
      <c r="P71" s="440">
        <v>30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112</v>
      </c>
      <c r="D72" s="287"/>
      <c r="E72" s="284" t="s">
        <v>635</v>
      </c>
      <c r="F72" s="437" t="s">
        <v>630</v>
      </c>
      <c r="G72" s="438"/>
      <c r="H72" s="438"/>
      <c r="I72" s="438"/>
      <c r="J72" s="438"/>
      <c r="K72" s="438" t="s">
        <v>130</v>
      </c>
      <c r="L72" s="438"/>
      <c r="M72" s="51" t="s">
        <v>184</v>
      </c>
      <c r="N72" s="439" t="s">
        <v>262</v>
      </c>
      <c r="O72" s="439"/>
      <c r="P72" s="440">
        <v>100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112</v>
      </c>
      <c r="D73" s="287"/>
      <c r="E73" s="284" t="s">
        <v>147</v>
      </c>
      <c r="F73" s="437" t="s">
        <v>629</v>
      </c>
      <c r="G73" s="438"/>
      <c r="H73" s="438"/>
      <c r="I73" s="438"/>
      <c r="J73" s="438"/>
      <c r="K73" s="438" t="s">
        <v>130</v>
      </c>
      <c r="L73" s="438"/>
      <c r="M73" s="51" t="s">
        <v>184</v>
      </c>
      <c r="N73" s="439" t="s">
        <v>262</v>
      </c>
      <c r="O73" s="439"/>
      <c r="P73" s="440">
        <v>100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/>
      <c r="D74" s="287"/>
      <c r="E74" s="284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287"/>
      <c r="E75" s="284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287"/>
      <c r="E76" s="284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287"/>
      <c r="E77" s="284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287"/>
      <c r="E78" s="284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287"/>
      <c r="E79" s="284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287"/>
      <c r="E80" s="284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641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286" t="s">
        <v>2</v>
      </c>
      <c r="D82" s="286" t="s">
        <v>37</v>
      </c>
      <c r="E82" s="286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288"/>
      <c r="D83" s="288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287"/>
      <c r="D84" s="287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20">A84+1</f>
        <v>3</v>
      </c>
      <c r="B85" s="455"/>
      <c r="C85" s="287"/>
      <c r="D85" s="287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0"/>
        <v>4</v>
      </c>
      <c r="B86" s="455"/>
      <c r="C86" s="287"/>
      <c r="D86" s="287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5</v>
      </c>
      <c r="B87" s="455"/>
      <c r="C87" s="287"/>
      <c r="D87" s="287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6</v>
      </c>
      <c r="B88" s="455"/>
      <c r="C88" s="287"/>
      <c r="D88" s="287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7</v>
      </c>
      <c r="B89" s="455"/>
      <c r="C89" s="287"/>
      <c r="D89" s="287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642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578B-0D62-4982-BA4E-7DAF2686BEDC}">
  <sheetPr>
    <pageSetUpPr fitToPage="1"/>
  </sheetPr>
  <dimension ref="A1:AF95"/>
  <sheetViews>
    <sheetView view="pageBreakPreview" zoomScale="70" zoomScaleNormal="72" zoomScaleSheetLayoutView="70" workbookViewId="0">
      <selection activeCell="S12" sqref="S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643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76" t="s">
        <v>17</v>
      </c>
      <c r="L5" s="276" t="s">
        <v>18</v>
      </c>
      <c r="M5" s="276" t="s">
        <v>19</v>
      </c>
      <c r="N5" s="27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115</v>
      </c>
      <c r="E6" s="53" t="s">
        <v>607</v>
      </c>
      <c r="F6" s="30" t="s">
        <v>125</v>
      </c>
      <c r="G6" s="12">
        <v>4</v>
      </c>
      <c r="H6" s="13">
        <v>24</v>
      </c>
      <c r="I6" s="31">
        <v>2000</v>
      </c>
      <c r="J6" s="14">
        <v>5300</v>
      </c>
      <c r="K6" s="15">
        <f>L6+5300</f>
        <v>5300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0.36330667293970048</v>
      </c>
      <c r="AF6" s="81">
        <f t="shared" ref="AF6:AF29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644</v>
      </c>
      <c r="F7" s="30" t="s">
        <v>145</v>
      </c>
      <c r="G7" s="12">
        <v>1</v>
      </c>
      <c r="H7" s="13">
        <v>24</v>
      </c>
      <c r="I7" s="31">
        <v>190000</v>
      </c>
      <c r="J7" s="14">
        <v>8898</v>
      </c>
      <c r="K7" s="15">
        <f>L7</f>
        <v>8898</v>
      </c>
      <c r="L7" s="15">
        <f>2905*2+1544*2</f>
        <v>8898</v>
      </c>
      <c r="M7" s="15">
        <f t="shared" si="0"/>
        <v>8898</v>
      </c>
      <c r="N7" s="15">
        <v>0</v>
      </c>
      <c r="O7" s="58">
        <f t="shared" si="1"/>
        <v>0</v>
      </c>
      <c r="P7" s="39">
        <f t="shared" si="2"/>
        <v>20</v>
      </c>
      <c r="Q7" s="40">
        <f t="shared" si="3"/>
        <v>4</v>
      </c>
      <c r="R7" s="7"/>
      <c r="S7" s="6"/>
      <c r="T7" s="16">
        <v>4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0.83333333333333337</v>
      </c>
      <c r="AD7" s="10">
        <f t="shared" ref="AD7:AD29" si="8">AC7*AB7*(1-O7)</f>
        <v>0.83333333333333337</v>
      </c>
      <c r="AE7" s="36">
        <f t="shared" si="6"/>
        <v>0.36330667293970048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22</v>
      </c>
      <c r="I8" s="31">
        <v>73000</v>
      </c>
      <c r="J8" s="5">
        <v>578</v>
      </c>
      <c r="K8" s="15">
        <f>L8+200+700+2634+8280+9294</f>
        <v>21686</v>
      </c>
      <c r="L8" s="15">
        <f>289*2</f>
        <v>578</v>
      </c>
      <c r="M8" s="15">
        <f t="shared" si="0"/>
        <v>578</v>
      </c>
      <c r="N8" s="15">
        <v>0</v>
      </c>
      <c r="O8" s="58">
        <f t="shared" si="1"/>
        <v>0</v>
      </c>
      <c r="P8" s="39">
        <f t="shared" si="2"/>
        <v>3</v>
      </c>
      <c r="Q8" s="40">
        <f t="shared" si="3"/>
        <v>21</v>
      </c>
      <c r="R8" s="7"/>
      <c r="S8" s="6">
        <v>21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0.125</v>
      </c>
      <c r="AD8" s="10">
        <f t="shared" si="8"/>
        <v>0.125</v>
      </c>
      <c r="AE8" s="36">
        <f t="shared" si="6"/>
        <v>0.36330667293970048</v>
      </c>
      <c r="AF8" s="81">
        <f t="shared" si="7"/>
        <v>3</v>
      </c>
    </row>
    <row r="9" spans="1:32" ht="27" customHeight="1">
      <c r="A9" s="93">
        <v>3</v>
      </c>
      <c r="B9" s="11" t="s">
        <v>57</v>
      </c>
      <c r="C9" s="34" t="s">
        <v>112</v>
      </c>
      <c r="D9" s="52" t="s">
        <v>115</v>
      </c>
      <c r="E9" s="53" t="s">
        <v>645</v>
      </c>
      <c r="F9" s="30" t="s">
        <v>250</v>
      </c>
      <c r="G9" s="12">
        <v>1</v>
      </c>
      <c r="H9" s="13">
        <v>22</v>
      </c>
      <c r="I9" s="31">
        <v>800</v>
      </c>
      <c r="J9" s="5">
        <v>899</v>
      </c>
      <c r="K9" s="15">
        <f>L9</f>
        <v>899</v>
      </c>
      <c r="L9" s="15">
        <v>899</v>
      </c>
      <c r="M9" s="15">
        <f t="shared" ref="M9" si="9">L9-N9</f>
        <v>899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5</v>
      </c>
      <c r="Q9" s="40">
        <f t="shared" ref="Q9" si="12">SUM(R9:AA9)</f>
        <v>19</v>
      </c>
      <c r="R9" s="7"/>
      <c r="S9" s="6"/>
      <c r="T9" s="16"/>
      <c r="U9" s="16"/>
      <c r="V9" s="17"/>
      <c r="W9" s="5">
        <v>19</v>
      </c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0.20833333333333334</v>
      </c>
      <c r="AD9" s="10">
        <f t="shared" ref="AD9" si="15">AC9*AB9*(1-O9)</f>
        <v>0.20833333333333334</v>
      </c>
      <c r="AE9" s="36">
        <f t="shared" si="6"/>
        <v>0.36330667293970048</v>
      </c>
      <c r="AF9" s="81">
        <f t="shared" ref="AF9" si="16">A9</f>
        <v>3</v>
      </c>
    </row>
    <row r="10" spans="1:32" ht="27" customHeight="1">
      <c r="A10" s="93">
        <v>4</v>
      </c>
      <c r="B10" s="11" t="s">
        <v>57</v>
      </c>
      <c r="C10" s="34" t="s">
        <v>112</v>
      </c>
      <c r="D10" s="52" t="s">
        <v>115</v>
      </c>
      <c r="E10" s="53" t="s">
        <v>551</v>
      </c>
      <c r="F10" s="30" t="s">
        <v>130</v>
      </c>
      <c r="G10" s="12">
        <v>1</v>
      </c>
      <c r="H10" s="13">
        <v>24</v>
      </c>
      <c r="I10" s="7">
        <v>7000</v>
      </c>
      <c r="J10" s="14">
        <v>1196</v>
      </c>
      <c r="K10" s="15">
        <f>L10+2761+4556</f>
        <v>8513</v>
      </c>
      <c r="L10" s="15">
        <v>1196</v>
      </c>
      <c r="M10" s="15">
        <f t="shared" si="0"/>
        <v>1196</v>
      </c>
      <c r="N10" s="15">
        <v>0</v>
      </c>
      <c r="O10" s="58">
        <f t="shared" si="1"/>
        <v>0</v>
      </c>
      <c r="P10" s="39">
        <f t="shared" si="2"/>
        <v>7</v>
      </c>
      <c r="Q10" s="40">
        <f t="shared" si="3"/>
        <v>17</v>
      </c>
      <c r="R10" s="7"/>
      <c r="S10" s="6"/>
      <c r="T10" s="16"/>
      <c r="U10" s="16"/>
      <c r="V10" s="17"/>
      <c r="W10" s="5">
        <v>17</v>
      </c>
      <c r="X10" s="16"/>
      <c r="Y10" s="16"/>
      <c r="Z10" s="16"/>
      <c r="AA10" s="18"/>
      <c r="AB10" s="8">
        <f t="shared" si="4"/>
        <v>1</v>
      </c>
      <c r="AC10" s="9">
        <f t="shared" si="5"/>
        <v>0.29166666666666669</v>
      </c>
      <c r="AD10" s="10">
        <f t="shared" si="8"/>
        <v>0.29166666666666669</v>
      </c>
      <c r="AE10" s="36">
        <f t="shared" si="6"/>
        <v>0.36330667293970048</v>
      </c>
      <c r="AF10" s="81">
        <f t="shared" si="7"/>
        <v>4</v>
      </c>
    </row>
    <row r="11" spans="1:32" ht="27" customHeight="1">
      <c r="A11" s="93">
        <v>4</v>
      </c>
      <c r="B11" s="11" t="s">
        <v>57</v>
      </c>
      <c r="C11" s="34" t="s">
        <v>563</v>
      </c>
      <c r="D11" s="52"/>
      <c r="E11" s="53" t="s">
        <v>646</v>
      </c>
      <c r="F11" s="30" t="s">
        <v>161</v>
      </c>
      <c r="G11" s="12">
        <v>2</v>
      </c>
      <c r="H11" s="13">
        <v>24</v>
      </c>
      <c r="I11" s="7">
        <v>24500</v>
      </c>
      <c r="J11" s="14">
        <v>7548</v>
      </c>
      <c r="K11" s="15">
        <f>L11</f>
        <v>7548</v>
      </c>
      <c r="L11" s="15">
        <f>863*2+2911*2</f>
        <v>7548</v>
      </c>
      <c r="M11" s="15">
        <f t="shared" ref="M11" si="17">L11-N11</f>
        <v>7548</v>
      </c>
      <c r="N11" s="15">
        <v>0</v>
      </c>
      <c r="O11" s="58">
        <f t="shared" ref="O11" si="18">IF(L11=0,"0",N11/L11)</f>
        <v>0</v>
      </c>
      <c r="P11" s="39">
        <f t="shared" ref="P11" si="19">IF(L11=0,"0",(24-Q11))</f>
        <v>16</v>
      </c>
      <c r="Q11" s="40">
        <f t="shared" ref="Q11" si="20">SUM(R11:AA11)</f>
        <v>8</v>
      </c>
      <c r="R11" s="7"/>
      <c r="S11" s="6"/>
      <c r="T11" s="16">
        <v>8</v>
      </c>
      <c r="U11" s="16"/>
      <c r="V11" s="17"/>
      <c r="W11" s="5"/>
      <c r="X11" s="16"/>
      <c r="Y11" s="16"/>
      <c r="Z11" s="16"/>
      <c r="AA11" s="18"/>
      <c r="AB11" s="8">
        <f t="shared" ref="AB11" si="21">IF(J11=0,"0",(L11/J11))</f>
        <v>1</v>
      </c>
      <c r="AC11" s="9">
        <f t="shared" ref="AC11" si="22">IF(P11=0,"0",(P11/24))</f>
        <v>0.66666666666666663</v>
      </c>
      <c r="AD11" s="10">
        <f t="shared" ref="AD11" si="23">AC11*AB11*(1-O11)</f>
        <v>0.66666666666666663</v>
      </c>
      <c r="AE11" s="36">
        <f t="shared" si="6"/>
        <v>0.36330667293970048</v>
      </c>
      <c r="AF11" s="81">
        <f t="shared" ref="AF11" si="24">A11</f>
        <v>4</v>
      </c>
    </row>
    <row r="12" spans="1:32" ht="27" customHeight="1">
      <c r="A12" s="93">
        <v>5</v>
      </c>
      <c r="B12" s="11" t="s">
        <v>57</v>
      </c>
      <c r="C12" s="11" t="s">
        <v>563</v>
      </c>
      <c r="D12" s="52"/>
      <c r="E12" s="53" t="s">
        <v>608</v>
      </c>
      <c r="F12" s="30" t="s">
        <v>282</v>
      </c>
      <c r="G12" s="33">
        <v>2</v>
      </c>
      <c r="H12" s="35">
        <v>24</v>
      </c>
      <c r="I12" s="7">
        <v>24500</v>
      </c>
      <c r="J12" s="14">
        <v>9820</v>
      </c>
      <c r="K12" s="15">
        <f>L12+8462</f>
        <v>18282</v>
      </c>
      <c r="L12" s="15">
        <f>2538*2+2372*2</f>
        <v>9820</v>
      </c>
      <c r="M12" s="15">
        <f t="shared" si="0"/>
        <v>9820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0.36330667293970048</v>
      </c>
      <c r="AF12" s="81">
        <f t="shared" si="7"/>
        <v>5</v>
      </c>
    </row>
    <row r="13" spans="1:32" ht="27" customHeight="1">
      <c r="A13" s="93">
        <v>6</v>
      </c>
      <c r="B13" s="11" t="s">
        <v>57</v>
      </c>
      <c r="C13" s="11" t="s">
        <v>112</v>
      </c>
      <c r="D13" s="52" t="s">
        <v>170</v>
      </c>
      <c r="E13" s="53" t="s">
        <v>339</v>
      </c>
      <c r="F13" s="30" t="s">
        <v>123</v>
      </c>
      <c r="G13" s="33">
        <v>1</v>
      </c>
      <c r="H13" s="35">
        <v>24</v>
      </c>
      <c r="I13" s="7">
        <v>7000</v>
      </c>
      <c r="J13" s="14">
        <v>5672</v>
      </c>
      <c r="K13" s="15">
        <f>L13</f>
        <v>5672</v>
      </c>
      <c r="L13" s="15">
        <f>2602+3070</f>
        <v>5672</v>
      </c>
      <c r="M13" s="15">
        <f t="shared" si="0"/>
        <v>5672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8"/>
        <v>0.95833333333333337</v>
      </c>
      <c r="AE13" s="36">
        <f t="shared" si="6"/>
        <v>0.36330667293970048</v>
      </c>
      <c r="AF13" s="81">
        <f t="shared" si="7"/>
        <v>6</v>
      </c>
    </row>
    <row r="14" spans="1:32" ht="27" customHeight="1">
      <c r="A14" s="93">
        <v>7</v>
      </c>
      <c r="B14" s="11" t="s">
        <v>57</v>
      </c>
      <c r="C14" s="34" t="s">
        <v>116</v>
      </c>
      <c r="D14" s="52" t="s">
        <v>115</v>
      </c>
      <c r="E14" s="53" t="s">
        <v>164</v>
      </c>
      <c r="F14" s="30" t="s">
        <v>123</v>
      </c>
      <c r="G14" s="12">
        <v>1</v>
      </c>
      <c r="H14" s="13">
        <v>22</v>
      </c>
      <c r="I14" s="31">
        <f>70000+110000</f>
        <v>180000</v>
      </c>
      <c r="J14" s="5">
        <v>5016</v>
      </c>
      <c r="K14" s="15">
        <f>L14+5056+5299+5142+4725+5285+5308+3502+5153+5075+5268+5338+5267+5184+5110+5267+5309+13944+5077+5113+5283+5335+5351+3987</f>
        <v>130394</v>
      </c>
      <c r="L14" s="15">
        <f>2665+2351</f>
        <v>5016</v>
      </c>
      <c r="M14" s="15">
        <f t="shared" si="0"/>
        <v>5016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0.36330667293970048</v>
      </c>
      <c r="AF14" s="81">
        <f t="shared" si="7"/>
        <v>7</v>
      </c>
    </row>
    <row r="15" spans="1:32" ht="27" customHeight="1">
      <c r="A15" s="93">
        <v>8</v>
      </c>
      <c r="B15" s="11" t="s">
        <v>57</v>
      </c>
      <c r="C15" s="11" t="s">
        <v>112</v>
      </c>
      <c r="D15" s="52" t="s">
        <v>154</v>
      </c>
      <c r="E15" s="53" t="s">
        <v>486</v>
      </c>
      <c r="F15" s="30" t="s">
        <v>123</v>
      </c>
      <c r="G15" s="33">
        <v>1</v>
      </c>
      <c r="H15" s="35">
        <v>22</v>
      </c>
      <c r="I15" s="7">
        <v>32000</v>
      </c>
      <c r="J15" s="14">
        <v>6082</v>
      </c>
      <c r="K15" s="15">
        <f>L15+6014+6382+6362+5997</f>
        <v>30837</v>
      </c>
      <c r="L15" s="15">
        <f>3164+2918</f>
        <v>6082</v>
      </c>
      <c r="M15" s="15">
        <f t="shared" si="0"/>
        <v>6082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0.36330667293970048</v>
      </c>
      <c r="AF15" s="81">
        <f t="shared" si="7"/>
        <v>8</v>
      </c>
    </row>
    <row r="16" spans="1:32" ht="27" customHeight="1">
      <c r="A16" s="100">
        <v>9</v>
      </c>
      <c r="B16" s="11" t="s">
        <v>57</v>
      </c>
      <c r="C16" s="34" t="s">
        <v>112</v>
      </c>
      <c r="D16" s="52" t="s">
        <v>115</v>
      </c>
      <c r="E16" s="53" t="s">
        <v>639</v>
      </c>
      <c r="F16" s="30" t="s">
        <v>647</v>
      </c>
      <c r="G16" s="33">
        <v>1</v>
      </c>
      <c r="H16" s="35">
        <v>50</v>
      </c>
      <c r="I16" s="7">
        <v>300</v>
      </c>
      <c r="J16" s="5">
        <v>6132</v>
      </c>
      <c r="K16" s="15">
        <f>L16</f>
        <v>0</v>
      </c>
      <c r="L16" s="15">
        <f>0</f>
        <v>0</v>
      </c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0.36330667293970048</v>
      </c>
      <c r="AF16" s="81">
        <f t="shared" si="7"/>
        <v>9</v>
      </c>
    </row>
    <row r="17" spans="1:32" ht="27" customHeight="1">
      <c r="A17" s="107">
        <v>10</v>
      </c>
      <c r="B17" s="11" t="s">
        <v>57</v>
      </c>
      <c r="C17" s="34" t="s">
        <v>112</v>
      </c>
      <c r="D17" s="52" t="s">
        <v>146</v>
      </c>
      <c r="E17" s="53" t="s">
        <v>610</v>
      </c>
      <c r="F17" s="30" t="s">
        <v>148</v>
      </c>
      <c r="G17" s="12">
        <v>1</v>
      </c>
      <c r="H17" s="13">
        <v>24</v>
      </c>
      <c r="I17" s="31">
        <v>3300</v>
      </c>
      <c r="J17" s="14">
        <v>4832</v>
      </c>
      <c r="K17" s="15">
        <f>L17+4832</f>
        <v>4832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0.36330667293970048</v>
      </c>
      <c r="AF17" s="81">
        <f t="shared" si="7"/>
        <v>10</v>
      </c>
    </row>
    <row r="18" spans="1:32" ht="27" customHeight="1">
      <c r="A18" s="107">
        <v>11</v>
      </c>
      <c r="B18" s="11" t="s">
        <v>57</v>
      </c>
      <c r="C18" s="34" t="s">
        <v>142</v>
      </c>
      <c r="D18" s="52"/>
      <c r="E18" s="53" t="s">
        <v>153</v>
      </c>
      <c r="F18" s="30" t="s">
        <v>143</v>
      </c>
      <c r="G18" s="12">
        <v>30</v>
      </c>
      <c r="H18" s="13">
        <v>24</v>
      </c>
      <c r="I18" s="7">
        <v>1500000</v>
      </c>
      <c r="J18" s="14">
        <v>239650</v>
      </c>
      <c r="K18" s="15">
        <f>L18+272760+336570+336810+345570+328410</f>
        <v>1859770</v>
      </c>
      <c r="L18" s="15">
        <f>4726*25+4860*25</f>
        <v>239650</v>
      </c>
      <c r="M18" s="15">
        <f t="shared" si="0"/>
        <v>239650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0.36330667293970048</v>
      </c>
      <c r="AF18" s="81">
        <f t="shared" si="7"/>
        <v>11</v>
      </c>
    </row>
    <row r="19" spans="1:32" ht="27" customHeight="1">
      <c r="A19" s="107">
        <v>12</v>
      </c>
      <c r="B19" s="11" t="s">
        <v>57</v>
      </c>
      <c r="C19" s="34" t="s">
        <v>116</v>
      </c>
      <c r="D19" s="52" t="s">
        <v>146</v>
      </c>
      <c r="E19" s="53" t="s">
        <v>293</v>
      </c>
      <c r="F19" s="30" t="s">
        <v>278</v>
      </c>
      <c r="G19" s="12">
        <v>1</v>
      </c>
      <c r="H19" s="13">
        <v>24</v>
      </c>
      <c r="I19" s="7">
        <v>6000</v>
      </c>
      <c r="J19" s="14">
        <v>5395</v>
      </c>
      <c r="K19" s="15">
        <f>L19+5785+5395</f>
        <v>11180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0.36330667293970048</v>
      </c>
      <c r="AF19" s="81">
        <f t="shared" si="7"/>
        <v>12</v>
      </c>
    </row>
    <row r="20" spans="1:32" ht="27" customHeight="1">
      <c r="A20" s="107">
        <v>13</v>
      </c>
      <c r="B20" s="11" t="s">
        <v>57</v>
      </c>
      <c r="C20" s="34" t="s">
        <v>129</v>
      </c>
      <c r="D20" s="52" t="s">
        <v>648</v>
      </c>
      <c r="E20" s="53" t="s">
        <v>649</v>
      </c>
      <c r="F20" s="30" t="s">
        <v>141</v>
      </c>
      <c r="G20" s="12" t="s">
        <v>650</v>
      </c>
      <c r="H20" s="13">
        <v>24</v>
      </c>
      <c r="I20" s="7">
        <v>2000</v>
      </c>
      <c r="J20" s="14">
        <v>2834</v>
      </c>
      <c r="K20" s="15">
        <f>L20</f>
        <v>2884</v>
      </c>
      <c r="L20" s="15">
        <f>851+2033</f>
        <v>2884</v>
      </c>
      <c r="M20" s="15">
        <f t="shared" si="0"/>
        <v>2884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9</v>
      </c>
      <c r="AB20" s="8">
        <f t="shared" si="4"/>
        <v>1.0176429075511644</v>
      </c>
      <c r="AC20" s="9">
        <f t="shared" si="5"/>
        <v>0.625</v>
      </c>
      <c r="AD20" s="10">
        <f t="shared" si="8"/>
        <v>0.63602681721947774</v>
      </c>
      <c r="AE20" s="36">
        <f t="shared" si="6"/>
        <v>0.36330667293970048</v>
      </c>
      <c r="AF20" s="81">
        <f t="shared" si="7"/>
        <v>13</v>
      </c>
    </row>
    <row r="21" spans="1:32" ht="27" customHeight="1">
      <c r="A21" s="93">
        <v>14</v>
      </c>
      <c r="B21" s="11" t="s">
        <v>57</v>
      </c>
      <c r="C21" s="11" t="s">
        <v>112</v>
      </c>
      <c r="D21" s="52" t="s">
        <v>353</v>
      </c>
      <c r="E21" s="53" t="s">
        <v>630</v>
      </c>
      <c r="F21" s="30" t="s">
        <v>130</v>
      </c>
      <c r="G21" s="33">
        <v>2</v>
      </c>
      <c r="H21" s="35">
        <v>24</v>
      </c>
      <c r="I21" s="7">
        <v>1500</v>
      </c>
      <c r="J21" s="14">
        <v>1678</v>
      </c>
      <c r="K21" s="15">
        <f>L21+1678</f>
        <v>1678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/>
      <c r="X21" s="16"/>
      <c r="Y21" s="16"/>
      <c r="Z21" s="16"/>
      <c r="AA21" s="18">
        <v>24</v>
      </c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0.36330667293970048</v>
      </c>
      <c r="AF21" s="81">
        <f t="shared" si="7"/>
        <v>14</v>
      </c>
    </row>
    <row r="22" spans="1:32" ht="27" customHeight="1">
      <c r="A22" s="107">
        <v>15</v>
      </c>
      <c r="B22" s="11" t="s">
        <v>57</v>
      </c>
      <c r="C22" s="11" t="s">
        <v>112</v>
      </c>
      <c r="D22" s="52" t="s">
        <v>128</v>
      </c>
      <c r="E22" s="53" t="s">
        <v>158</v>
      </c>
      <c r="F22" s="30" t="s">
        <v>124</v>
      </c>
      <c r="G22" s="33">
        <v>4</v>
      </c>
      <c r="H22" s="35">
        <v>24</v>
      </c>
      <c r="I22" s="7">
        <v>360000</v>
      </c>
      <c r="J22" s="14">
        <v>20332</v>
      </c>
      <c r="K22" s="15">
        <f>L22+16424+3460+8466+14048+14809+10420+6468+20028+25064+24256+18744+23224+19112+21656+19860+24856+20332</f>
        <v>291227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>
        <v>24</v>
      </c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0.36330667293970048</v>
      </c>
      <c r="AF22" s="81">
        <f t="shared" si="7"/>
        <v>15</v>
      </c>
    </row>
    <row r="23" spans="1:32" ht="26.25" customHeight="1">
      <c r="A23" s="93">
        <v>16</v>
      </c>
      <c r="B23" s="11" t="s">
        <v>57</v>
      </c>
      <c r="C23" s="11" t="s">
        <v>113</v>
      </c>
      <c r="D23" s="52"/>
      <c r="E23" s="53" t="s">
        <v>494</v>
      </c>
      <c r="F23" s="12" t="s">
        <v>114</v>
      </c>
      <c r="G23" s="12">
        <v>4</v>
      </c>
      <c r="H23" s="35">
        <v>20</v>
      </c>
      <c r="I23" s="7">
        <v>2000000</v>
      </c>
      <c r="J23" s="14">
        <v>57820</v>
      </c>
      <c r="K23" s="15">
        <f>L23+34748+57176+64908+60896</f>
        <v>275548</v>
      </c>
      <c r="L23" s="15">
        <f>6373*4+8082*4</f>
        <v>57820</v>
      </c>
      <c r="M23" s="15">
        <f t="shared" si="0"/>
        <v>57820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0.36330667293970048</v>
      </c>
      <c r="AF23" s="81">
        <f t="shared" si="7"/>
        <v>16</v>
      </c>
    </row>
    <row r="24" spans="1:32" ht="21.75" customHeight="1">
      <c r="A24" s="93">
        <v>31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ref="K24:K25" si="25"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0.36330667293970048</v>
      </c>
      <c r="AF24" s="81">
        <f t="shared" si="7"/>
        <v>31</v>
      </c>
    </row>
    <row r="25" spans="1:32" ht="21.75" customHeight="1">
      <c r="A25" s="93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si="25"/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0.36330667293970048</v>
      </c>
      <c r="AF25" s="81">
        <f t="shared" si="7"/>
        <v>32</v>
      </c>
    </row>
    <row r="26" spans="1:32" ht="21.75" customHeight="1">
      <c r="A26" s="93">
        <v>33</v>
      </c>
      <c r="B26" s="11" t="s">
        <v>57</v>
      </c>
      <c r="C26" s="11" t="s">
        <v>116</v>
      </c>
      <c r="D26" s="52" t="s">
        <v>170</v>
      </c>
      <c r="E26" s="53" t="s">
        <v>168</v>
      </c>
      <c r="F26" s="12" t="s">
        <v>124</v>
      </c>
      <c r="G26" s="12">
        <v>4</v>
      </c>
      <c r="H26" s="35">
        <v>20</v>
      </c>
      <c r="I26" s="7">
        <v>60000</v>
      </c>
      <c r="J26" s="14">
        <v>28124</v>
      </c>
      <c r="K26" s="15">
        <f>L26+23172+28124+27392</f>
        <v>78688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0.36330667293970048</v>
      </c>
      <c r="AF26" s="81">
        <f t="shared" si="7"/>
        <v>33</v>
      </c>
    </row>
    <row r="27" spans="1:32" ht="21.75" customHeight="1">
      <c r="A27" s="93">
        <v>34</v>
      </c>
      <c r="B27" s="11" t="s">
        <v>57</v>
      </c>
      <c r="C27" s="11" t="s">
        <v>116</v>
      </c>
      <c r="D27" s="52" t="s">
        <v>131</v>
      </c>
      <c r="E27" s="53" t="s">
        <v>134</v>
      </c>
      <c r="F27" s="12" t="s">
        <v>125</v>
      </c>
      <c r="G27" s="12">
        <v>4</v>
      </c>
      <c r="H27" s="35">
        <v>20</v>
      </c>
      <c r="I27" s="7">
        <v>60000</v>
      </c>
      <c r="J27" s="14">
        <v>26768</v>
      </c>
      <c r="K27" s="15">
        <f>L27+24016+26768+22600</f>
        <v>73384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0.36330667293970048</v>
      </c>
      <c r="AF27" s="81">
        <f t="shared" si="7"/>
        <v>34</v>
      </c>
    </row>
    <row r="28" spans="1:32" ht="21.75" customHeight="1">
      <c r="A28" s="93">
        <v>35</v>
      </c>
      <c r="B28" s="11" t="s">
        <v>57</v>
      </c>
      <c r="C28" s="11" t="s">
        <v>116</v>
      </c>
      <c r="D28" s="52" t="s">
        <v>121</v>
      </c>
      <c r="E28" s="53" t="s">
        <v>126</v>
      </c>
      <c r="F28" s="12" t="s">
        <v>125</v>
      </c>
      <c r="G28" s="12">
        <v>4</v>
      </c>
      <c r="H28" s="35">
        <v>20</v>
      </c>
      <c r="I28" s="7">
        <v>60000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0.36330667293970048</v>
      </c>
      <c r="AF28" s="81">
        <f t="shared" si="7"/>
        <v>35</v>
      </c>
    </row>
    <row r="29" spans="1:32" ht="21.75" customHeight="1" thickBot="1">
      <c r="A29" s="93">
        <v>36</v>
      </c>
      <c r="B29" s="11" t="s">
        <v>57</v>
      </c>
      <c r="C29" s="11" t="s">
        <v>116</v>
      </c>
      <c r="D29" s="52" t="s">
        <v>115</v>
      </c>
      <c r="E29" s="53" t="s">
        <v>169</v>
      </c>
      <c r="F29" s="12" t="s">
        <v>144</v>
      </c>
      <c r="G29" s="12">
        <v>4</v>
      </c>
      <c r="H29" s="35">
        <v>20</v>
      </c>
      <c r="I29" s="7">
        <v>60000</v>
      </c>
      <c r="J29" s="14">
        <v>26192</v>
      </c>
      <c r="K29" s="15">
        <f>L29+20088+26192+24640</f>
        <v>70920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5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0.36330667293970048</v>
      </c>
      <c r="AF29" s="81">
        <f t="shared" si="7"/>
        <v>36</v>
      </c>
    </row>
    <row r="30" spans="1:32" ht="19.5" thickBot="1">
      <c r="A30" s="384" t="s">
        <v>34</v>
      </c>
      <c r="B30" s="385"/>
      <c r="C30" s="385"/>
      <c r="D30" s="385"/>
      <c r="E30" s="385"/>
      <c r="F30" s="385"/>
      <c r="G30" s="385"/>
      <c r="H30" s="386"/>
      <c r="I30" s="22">
        <f t="shared" ref="I30:N30" si="26">SUM(I6:I29)</f>
        <v>4653900</v>
      </c>
      <c r="J30" s="19">
        <f t="shared" si="26"/>
        <v>497710</v>
      </c>
      <c r="K30" s="20">
        <f t="shared" si="26"/>
        <v>2981392</v>
      </c>
      <c r="L30" s="21">
        <f t="shared" si="26"/>
        <v>346063</v>
      </c>
      <c r="M30" s="20">
        <f t="shared" si="26"/>
        <v>346063</v>
      </c>
      <c r="N30" s="21">
        <f t="shared" si="26"/>
        <v>0</v>
      </c>
      <c r="O30" s="41">
        <f t="shared" si="1"/>
        <v>0</v>
      </c>
      <c r="P30" s="42">
        <f t="shared" ref="P30:AA30" si="27">SUM(P6:P29)</f>
        <v>209</v>
      </c>
      <c r="Q30" s="43">
        <f t="shared" si="27"/>
        <v>367</v>
      </c>
      <c r="R30" s="23">
        <f t="shared" si="27"/>
        <v>24</v>
      </c>
      <c r="S30" s="24">
        <f t="shared" si="27"/>
        <v>45</v>
      </c>
      <c r="T30" s="24">
        <f t="shared" si="27"/>
        <v>13</v>
      </c>
      <c r="U30" s="24">
        <f t="shared" si="27"/>
        <v>0</v>
      </c>
      <c r="V30" s="25">
        <f t="shared" si="27"/>
        <v>0</v>
      </c>
      <c r="W30" s="26">
        <f t="shared" si="27"/>
        <v>228</v>
      </c>
      <c r="X30" s="27">
        <f t="shared" si="27"/>
        <v>0</v>
      </c>
      <c r="Y30" s="27">
        <f t="shared" si="27"/>
        <v>0</v>
      </c>
      <c r="Z30" s="27">
        <f t="shared" si="27"/>
        <v>0</v>
      </c>
      <c r="AA30" s="27">
        <f t="shared" si="27"/>
        <v>57</v>
      </c>
      <c r="AB30" s="28">
        <f>AVERAGE(AB6:AB29)</f>
        <v>0.54625649579778013</v>
      </c>
      <c r="AC30" s="4">
        <f>AVERAGE(AC6:AC29)</f>
        <v>0.36284722222222215</v>
      </c>
      <c r="AD30" s="4">
        <f>AVERAGE(AD6:AD29)</f>
        <v>0.36330667293970048</v>
      </c>
      <c r="AE30" s="29"/>
    </row>
    <row r="31" spans="1:32">
      <c r="T31" s="50" t="s">
        <v>132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133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387" t="s">
        <v>45</v>
      </c>
      <c r="B57" s="387"/>
      <c r="C57" s="387"/>
      <c r="D57" s="387"/>
      <c r="E57" s="387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388" t="s">
        <v>651</v>
      </c>
      <c r="B58" s="389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90"/>
      <c r="N58" s="391" t="s">
        <v>655</v>
      </c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  <c r="AA58" s="392"/>
      <c r="AB58" s="392"/>
      <c r="AC58" s="392"/>
      <c r="AD58" s="393"/>
    </row>
    <row r="59" spans="1:32" ht="27" customHeight="1">
      <c r="A59" s="394" t="s">
        <v>2</v>
      </c>
      <c r="B59" s="395"/>
      <c r="C59" s="277" t="s">
        <v>46</v>
      </c>
      <c r="D59" s="277" t="s">
        <v>47</v>
      </c>
      <c r="E59" s="277" t="s">
        <v>107</v>
      </c>
      <c r="F59" s="396" t="s">
        <v>106</v>
      </c>
      <c r="G59" s="397"/>
      <c r="H59" s="397"/>
      <c r="I59" s="397"/>
      <c r="J59" s="397"/>
      <c r="K59" s="397"/>
      <c r="L59" s="397"/>
      <c r="M59" s="398"/>
      <c r="N59" s="67" t="s">
        <v>110</v>
      </c>
      <c r="O59" s="277" t="s">
        <v>46</v>
      </c>
      <c r="P59" s="396" t="s">
        <v>47</v>
      </c>
      <c r="Q59" s="399"/>
      <c r="R59" s="396" t="s">
        <v>38</v>
      </c>
      <c r="S59" s="397"/>
      <c r="T59" s="397"/>
      <c r="U59" s="399"/>
      <c r="V59" s="396" t="s">
        <v>48</v>
      </c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410" t="s">
        <v>112</v>
      </c>
      <c r="B60" s="411"/>
      <c r="C60" s="279" t="s">
        <v>311</v>
      </c>
      <c r="D60" s="279" t="s">
        <v>146</v>
      </c>
      <c r="E60" s="279" t="s">
        <v>178</v>
      </c>
      <c r="F60" s="412" t="s">
        <v>122</v>
      </c>
      <c r="G60" s="413"/>
      <c r="H60" s="413"/>
      <c r="I60" s="413"/>
      <c r="J60" s="413"/>
      <c r="K60" s="413"/>
      <c r="L60" s="413"/>
      <c r="M60" s="414"/>
      <c r="N60" s="278" t="s">
        <v>112</v>
      </c>
      <c r="O60" s="285" t="s">
        <v>151</v>
      </c>
      <c r="P60" s="415" t="s">
        <v>115</v>
      </c>
      <c r="Q60" s="416"/>
      <c r="R60" s="415" t="s">
        <v>289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112</v>
      </c>
      <c r="B61" s="411"/>
      <c r="C61" s="279" t="s">
        <v>151</v>
      </c>
      <c r="D61" s="279" t="s">
        <v>115</v>
      </c>
      <c r="E61" s="279" t="s">
        <v>289</v>
      </c>
      <c r="F61" s="412" t="s">
        <v>401</v>
      </c>
      <c r="G61" s="413"/>
      <c r="H61" s="413"/>
      <c r="I61" s="413"/>
      <c r="J61" s="413"/>
      <c r="K61" s="413"/>
      <c r="L61" s="413"/>
      <c r="M61" s="414"/>
      <c r="N61" s="278" t="s">
        <v>112</v>
      </c>
      <c r="O61" s="285" t="s">
        <v>656</v>
      </c>
      <c r="P61" s="415" t="s">
        <v>115</v>
      </c>
      <c r="Q61" s="416"/>
      <c r="R61" s="415" t="s">
        <v>657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563</v>
      </c>
      <c r="B62" s="411"/>
      <c r="C62" s="279" t="s">
        <v>230</v>
      </c>
      <c r="D62" s="279"/>
      <c r="E62" s="279" t="s">
        <v>646</v>
      </c>
      <c r="F62" s="412" t="s">
        <v>122</v>
      </c>
      <c r="G62" s="413"/>
      <c r="H62" s="413"/>
      <c r="I62" s="413"/>
      <c r="J62" s="413"/>
      <c r="K62" s="413"/>
      <c r="L62" s="413"/>
      <c r="M62" s="414"/>
      <c r="N62" s="278" t="s">
        <v>661</v>
      </c>
      <c r="O62" s="285" t="s">
        <v>662</v>
      </c>
      <c r="P62" s="415"/>
      <c r="Q62" s="416"/>
      <c r="R62" s="415" t="s">
        <v>659</v>
      </c>
      <c r="S62" s="417"/>
      <c r="T62" s="417"/>
      <c r="U62" s="416"/>
      <c r="V62" s="412" t="s">
        <v>660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79" t="s">
        <v>151</v>
      </c>
      <c r="D63" s="279" t="s">
        <v>115</v>
      </c>
      <c r="E63" s="279" t="s">
        <v>645</v>
      </c>
      <c r="F63" s="412" t="s">
        <v>122</v>
      </c>
      <c r="G63" s="413"/>
      <c r="H63" s="413"/>
      <c r="I63" s="413"/>
      <c r="J63" s="413"/>
      <c r="K63" s="413"/>
      <c r="L63" s="413"/>
      <c r="M63" s="414"/>
      <c r="N63" s="278" t="s">
        <v>652</v>
      </c>
      <c r="O63" s="285" t="s">
        <v>664</v>
      </c>
      <c r="P63" s="415" t="s">
        <v>115</v>
      </c>
      <c r="Q63" s="416"/>
      <c r="R63" s="415" t="s">
        <v>663</v>
      </c>
      <c r="S63" s="417"/>
      <c r="T63" s="417"/>
      <c r="U63" s="416"/>
      <c r="V63" s="412" t="s">
        <v>660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279" t="s">
        <v>185</v>
      </c>
      <c r="D64" s="279" t="s">
        <v>196</v>
      </c>
      <c r="E64" s="279" t="s">
        <v>339</v>
      </c>
      <c r="F64" s="412" t="s">
        <v>122</v>
      </c>
      <c r="G64" s="413"/>
      <c r="H64" s="413"/>
      <c r="I64" s="413"/>
      <c r="J64" s="413"/>
      <c r="K64" s="413"/>
      <c r="L64" s="413"/>
      <c r="M64" s="414"/>
      <c r="N64" s="278" t="s">
        <v>661</v>
      </c>
      <c r="O64" s="285" t="s">
        <v>666</v>
      </c>
      <c r="P64" s="415"/>
      <c r="Q64" s="416"/>
      <c r="R64" s="415" t="s">
        <v>665</v>
      </c>
      <c r="S64" s="417"/>
      <c r="T64" s="417"/>
      <c r="U64" s="416"/>
      <c r="V64" s="412" t="s">
        <v>660</v>
      </c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652</v>
      </c>
      <c r="B65" s="411"/>
      <c r="C65" s="279" t="s">
        <v>653</v>
      </c>
      <c r="D65" s="279" t="s">
        <v>654</v>
      </c>
      <c r="E65" s="279" t="s">
        <v>649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278" t="s">
        <v>112</v>
      </c>
      <c r="O65" s="285" t="s">
        <v>653</v>
      </c>
      <c r="P65" s="415" t="s">
        <v>115</v>
      </c>
      <c r="Q65" s="416"/>
      <c r="R65" s="415" t="s">
        <v>667</v>
      </c>
      <c r="S65" s="417"/>
      <c r="T65" s="417"/>
      <c r="U65" s="416"/>
      <c r="V65" s="412" t="s">
        <v>660</v>
      </c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10" t="s">
        <v>116</v>
      </c>
      <c r="B66" s="411"/>
      <c r="C66" s="279" t="s">
        <v>637</v>
      </c>
      <c r="D66" s="279" t="s">
        <v>115</v>
      </c>
      <c r="E66" s="279" t="s">
        <v>164</v>
      </c>
      <c r="F66" s="412" t="s">
        <v>220</v>
      </c>
      <c r="G66" s="413"/>
      <c r="H66" s="413"/>
      <c r="I66" s="413"/>
      <c r="J66" s="413"/>
      <c r="K66" s="413"/>
      <c r="L66" s="413"/>
      <c r="M66" s="414"/>
      <c r="N66" s="278" t="s">
        <v>112</v>
      </c>
      <c r="O66" s="285" t="s">
        <v>653</v>
      </c>
      <c r="P66" s="415" t="s">
        <v>115</v>
      </c>
      <c r="Q66" s="416"/>
      <c r="R66" s="415" t="s">
        <v>667</v>
      </c>
      <c r="S66" s="417"/>
      <c r="T66" s="417"/>
      <c r="U66" s="416"/>
      <c r="V66" s="412" t="s">
        <v>660</v>
      </c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 t="s">
        <v>112</v>
      </c>
      <c r="B67" s="427"/>
      <c r="C67" s="282" t="s">
        <v>656</v>
      </c>
      <c r="D67" s="282" t="s">
        <v>115</v>
      </c>
      <c r="E67" s="279" t="s">
        <v>657</v>
      </c>
      <c r="F67" s="412" t="s">
        <v>658</v>
      </c>
      <c r="G67" s="413"/>
      <c r="H67" s="413"/>
      <c r="I67" s="413"/>
      <c r="J67" s="413"/>
      <c r="K67" s="413"/>
      <c r="L67" s="413"/>
      <c r="M67" s="414"/>
      <c r="N67" s="278"/>
      <c r="O67" s="285"/>
      <c r="P67" s="415"/>
      <c r="Q67" s="416"/>
      <c r="R67" s="415"/>
      <c r="S67" s="417"/>
      <c r="T67" s="417"/>
      <c r="U67" s="416"/>
      <c r="V67" s="412"/>
      <c r="W67" s="413"/>
      <c r="X67" s="413"/>
      <c r="Y67" s="413"/>
      <c r="Z67" s="413"/>
      <c r="AA67" s="413"/>
      <c r="AB67" s="413"/>
      <c r="AC67" s="413"/>
      <c r="AD67" s="414"/>
    </row>
    <row r="68" spans="1:32" ht="27" customHeight="1">
      <c r="A68" s="426"/>
      <c r="B68" s="427"/>
      <c r="C68" s="282"/>
      <c r="D68" s="282"/>
      <c r="E68" s="279"/>
      <c r="F68" s="412"/>
      <c r="G68" s="413"/>
      <c r="H68" s="413"/>
      <c r="I68" s="413"/>
      <c r="J68" s="413"/>
      <c r="K68" s="413"/>
      <c r="L68" s="413"/>
      <c r="M68" s="414"/>
      <c r="N68" s="278"/>
      <c r="O68" s="285"/>
      <c r="P68" s="411"/>
      <c r="Q68" s="411"/>
      <c r="R68" s="411"/>
      <c r="S68" s="411"/>
      <c r="T68" s="411"/>
      <c r="U68" s="411"/>
      <c r="V68" s="412"/>
      <c r="W68" s="413"/>
      <c r="X68" s="413"/>
      <c r="Y68" s="413"/>
      <c r="Z68" s="413"/>
      <c r="AA68" s="413"/>
      <c r="AB68" s="413"/>
      <c r="AC68" s="413"/>
      <c r="AD68" s="414"/>
      <c r="AF68" s="81">
        <f>8*3000</f>
        <v>24000</v>
      </c>
    </row>
    <row r="69" spans="1:32" ht="27" customHeight="1" thickBot="1">
      <c r="A69" s="418"/>
      <c r="B69" s="419"/>
      <c r="C69" s="280"/>
      <c r="D69" s="281"/>
      <c r="E69" s="280"/>
      <c r="F69" s="420"/>
      <c r="G69" s="421"/>
      <c r="H69" s="421"/>
      <c r="I69" s="421"/>
      <c r="J69" s="421"/>
      <c r="K69" s="421"/>
      <c r="L69" s="421"/>
      <c r="M69" s="422"/>
      <c r="N69" s="106"/>
      <c r="O69" s="98"/>
      <c r="P69" s="423"/>
      <c r="Q69" s="423"/>
      <c r="R69" s="423"/>
      <c r="S69" s="423"/>
      <c r="T69" s="423"/>
      <c r="U69" s="423"/>
      <c r="V69" s="424"/>
      <c r="W69" s="424"/>
      <c r="X69" s="424"/>
      <c r="Y69" s="424"/>
      <c r="Z69" s="424"/>
      <c r="AA69" s="424"/>
      <c r="AB69" s="424"/>
      <c r="AC69" s="424"/>
      <c r="AD69" s="425"/>
      <c r="AF69" s="81">
        <f>16*3000</f>
        <v>48000</v>
      </c>
    </row>
    <row r="70" spans="1:32" ht="27.75" thickBot="1">
      <c r="A70" s="428" t="s">
        <v>668</v>
      </c>
      <c r="B70" s="428"/>
      <c r="C70" s="428"/>
      <c r="D70" s="428"/>
      <c r="E70" s="428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29" t="s">
        <v>111</v>
      </c>
      <c r="B71" s="430"/>
      <c r="C71" s="283" t="s">
        <v>2</v>
      </c>
      <c r="D71" s="283" t="s">
        <v>37</v>
      </c>
      <c r="E71" s="283" t="s">
        <v>3</v>
      </c>
      <c r="F71" s="430" t="s">
        <v>109</v>
      </c>
      <c r="G71" s="430"/>
      <c r="H71" s="430"/>
      <c r="I71" s="430"/>
      <c r="J71" s="430"/>
      <c r="K71" s="430" t="s">
        <v>39</v>
      </c>
      <c r="L71" s="430"/>
      <c r="M71" s="283" t="s">
        <v>40</v>
      </c>
      <c r="N71" s="430" t="s">
        <v>41</v>
      </c>
      <c r="O71" s="430"/>
      <c r="P71" s="431" t="s">
        <v>42</v>
      </c>
      <c r="Q71" s="432"/>
      <c r="R71" s="431" t="s">
        <v>43</v>
      </c>
      <c r="S71" s="433"/>
      <c r="T71" s="433"/>
      <c r="U71" s="433"/>
      <c r="V71" s="433"/>
      <c r="W71" s="433"/>
      <c r="X71" s="433"/>
      <c r="Y71" s="433"/>
      <c r="Z71" s="433"/>
      <c r="AA71" s="432"/>
      <c r="AB71" s="430" t="s">
        <v>44</v>
      </c>
      <c r="AC71" s="430"/>
      <c r="AD71" s="434"/>
      <c r="AF71" s="81">
        <f>SUM(AF68:AF70)</f>
        <v>96000</v>
      </c>
    </row>
    <row r="72" spans="1:32" ht="25.5" customHeight="1">
      <c r="A72" s="435">
        <v>1</v>
      </c>
      <c r="B72" s="436"/>
      <c r="C72" s="99" t="s">
        <v>116</v>
      </c>
      <c r="D72" s="287"/>
      <c r="E72" s="284" t="s">
        <v>146</v>
      </c>
      <c r="F72" s="437" t="s">
        <v>669</v>
      </c>
      <c r="G72" s="438"/>
      <c r="H72" s="438"/>
      <c r="I72" s="438"/>
      <c r="J72" s="438"/>
      <c r="K72" s="438" t="s">
        <v>570</v>
      </c>
      <c r="L72" s="438"/>
      <c r="M72" s="51" t="s">
        <v>213</v>
      </c>
      <c r="N72" s="439" t="s">
        <v>152</v>
      </c>
      <c r="O72" s="439"/>
      <c r="P72" s="440">
        <v>50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2</v>
      </c>
      <c r="B73" s="436"/>
      <c r="C73" s="99" t="s">
        <v>671</v>
      </c>
      <c r="D73" s="287"/>
      <c r="E73" s="284" t="s">
        <v>672</v>
      </c>
      <c r="F73" s="437" t="s">
        <v>670</v>
      </c>
      <c r="G73" s="438"/>
      <c r="H73" s="438"/>
      <c r="I73" s="438"/>
      <c r="J73" s="438"/>
      <c r="K73" s="438" t="s">
        <v>673</v>
      </c>
      <c r="L73" s="438"/>
      <c r="M73" s="51" t="s">
        <v>674</v>
      </c>
      <c r="N73" s="439" t="s">
        <v>666</v>
      </c>
      <c r="O73" s="439"/>
      <c r="P73" s="440">
        <v>200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3</v>
      </c>
      <c r="B74" s="436"/>
      <c r="C74" s="99" t="s">
        <v>652</v>
      </c>
      <c r="D74" s="287"/>
      <c r="E74" s="284" t="s">
        <v>676</v>
      </c>
      <c r="F74" s="437" t="s">
        <v>675</v>
      </c>
      <c r="G74" s="438"/>
      <c r="H74" s="438"/>
      <c r="I74" s="438"/>
      <c r="J74" s="438"/>
      <c r="K74" s="438" t="s">
        <v>677</v>
      </c>
      <c r="L74" s="438"/>
      <c r="M74" s="51" t="s">
        <v>678</v>
      </c>
      <c r="N74" s="439" t="s">
        <v>679</v>
      </c>
      <c r="O74" s="439"/>
      <c r="P74" s="440">
        <v>100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4</v>
      </c>
      <c r="B75" s="436"/>
      <c r="C75" s="99" t="s">
        <v>652</v>
      </c>
      <c r="D75" s="287"/>
      <c r="E75" s="284" t="s">
        <v>680</v>
      </c>
      <c r="F75" s="443" t="s">
        <v>681</v>
      </c>
      <c r="G75" s="444"/>
      <c r="H75" s="444"/>
      <c r="I75" s="444"/>
      <c r="J75" s="445"/>
      <c r="K75" s="438" t="s">
        <v>682</v>
      </c>
      <c r="L75" s="438"/>
      <c r="M75" s="51" t="s">
        <v>678</v>
      </c>
      <c r="N75" s="439" t="s">
        <v>653</v>
      </c>
      <c r="O75" s="439"/>
      <c r="P75" s="440" t="s">
        <v>683</v>
      </c>
      <c r="Q75" s="440"/>
      <c r="R75" s="441" t="s">
        <v>684</v>
      </c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5</v>
      </c>
      <c r="B76" s="436"/>
      <c r="C76" s="99" t="s">
        <v>652</v>
      </c>
      <c r="D76" s="287"/>
      <c r="E76" s="284" t="s">
        <v>680</v>
      </c>
      <c r="F76" s="443" t="s">
        <v>685</v>
      </c>
      <c r="G76" s="444"/>
      <c r="H76" s="444"/>
      <c r="I76" s="444"/>
      <c r="J76" s="445"/>
      <c r="K76" s="438" t="s">
        <v>682</v>
      </c>
      <c r="L76" s="438"/>
      <c r="M76" s="51" t="s">
        <v>678</v>
      </c>
      <c r="N76" s="439" t="s">
        <v>653</v>
      </c>
      <c r="O76" s="439"/>
      <c r="P76" s="440">
        <v>50</v>
      </c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6</v>
      </c>
      <c r="B77" s="436"/>
      <c r="C77" s="99" t="s">
        <v>652</v>
      </c>
      <c r="D77" s="287"/>
      <c r="E77" s="284" t="s">
        <v>680</v>
      </c>
      <c r="F77" s="443" t="s">
        <v>686</v>
      </c>
      <c r="G77" s="444"/>
      <c r="H77" s="444"/>
      <c r="I77" s="444"/>
      <c r="J77" s="445"/>
      <c r="K77" s="438" t="s">
        <v>682</v>
      </c>
      <c r="L77" s="438"/>
      <c r="M77" s="51" t="s">
        <v>678</v>
      </c>
      <c r="N77" s="439" t="s">
        <v>664</v>
      </c>
      <c r="O77" s="439"/>
      <c r="P77" s="440">
        <v>50</v>
      </c>
      <c r="Q77" s="440"/>
      <c r="R77" s="441" t="s">
        <v>687</v>
      </c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7</v>
      </c>
      <c r="B78" s="436"/>
      <c r="C78" s="99"/>
      <c r="D78" s="287"/>
      <c r="E78" s="284"/>
      <c r="F78" s="443"/>
      <c r="G78" s="444"/>
      <c r="H78" s="444"/>
      <c r="I78" s="444"/>
      <c r="J78" s="445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8</v>
      </c>
      <c r="B79" s="436"/>
      <c r="C79" s="99"/>
      <c r="D79" s="287"/>
      <c r="E79" s="284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9</v>
      </c>
      <c r="B80" s="436"/>
      <c r="C80" s="99"/>
      <c r="D80" s="287"/>
      <c r="E80" s="284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5.5" customHeight="1">
      <c r="A81" s="435">
        <v>10</v>
      </c>
      <c r="B81" s="436"/>
      <c r="C81" s="99"/>
      <c r="D81" s="287"/>
      <c r="E81" s="284"/>
      <c r="F81" s="437"/>
      <c r="G81" s="438"/>
      <c r="H81" s="438"/>
      <c r="I81" s="438"/>
      <c r="J81" s="438"/>
      <c r="K81" s="438"/>
      <c r="L81" s="438"/>
      <c r="M81" s="51"/>
      <c r="N81" s="439"/>
      <c r="O81" s="439"/>
      <c r="P81" s="440"/>
      <c r="Q81" s="440"/>
      <c r="R81" s="441"/>
      <c r="S81" s="441"/>
      <c r="T81" s="441"/>
      <c r="U81" s="441"/>
      <c r="V81" s="441"/>
      <c r="W81" s="441"/>
      <c r="X81" s="441"/>
      <c r="Y81" s="441"/>
      <c r="Z81" s="441"/>
      <c r="AA81" s="441"/>
      <c r="AB81" s="438"/>
      <c r="AC81" s="438"/>
      <c r="AD81" s="442"/>
      <c r="AF81" s="50"/>
    </row>
    <row r="82" spans="1:32" ht="26.25" customHeight="1" thickBot="1">
      <c r="A82" s="446" t="s">
        <v>688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47" t="s">
        <v>111</v>
      </c>
      <c r="B83" s="448"/>
      <c r="C83" s="286" t="s">
        <v>2</v>
      </c>
      <c r="D83" s="286" t="s">
        <v>37</v>
      </c>
      <c r="E83" s="286" t="s">
        <v>120</v>
      </c>
      <c r="F83" s="449" t="s">
        <v>38</v>
      </c>
      <c r="G83" s="449"/>
      <c r="H83" s="449"/>
      <c r="I83" s="449"/>
      <c r="J83" s="449"/>
      <c r="K83" s="450" t="s">
        <v>58</v>
      </c>
      <c r="L83" s="451"/>
      <c r="M83" s="451"/>
      <c r="N83" s="451"/>
      <c r="O83" s="451"/>
      <c r="P83" s="451"/>
      <c r="Q83" s="451"/>
      <c r="R83" s="451"/>
      <c r="S83" s="452"/>
      <c r="T83" s="449" t="s">
        <v>49</v>
      </c>
      <c r="U83" s="449"/>
      <c r="V83" s="450" t="s">
        <v>50</v>
      </c>
      <c r="W83" s="452"/>
      <c r="X83" s="451" t="s">
        <v>51</v>
      </c>
      <c r="Y83" s="451"/>
      <c r="Z83" s="451"/>
      <c r="AA83" s="451"/>
      <c r="AB83" s="451"/>
      <c r="AC83" s="451"/>
      <c r="AD83" s="453"/>
      <c r="AF83" s="50"/>
    </row>
    <row r="84" spans="1:32" ht="33.75" customHeight="1">
      <c r="A84" s="462">
        <v>1</v>
      </c>
      <c r="B84" s="463"/>
      <c r="C84" s="288"/>
      <c r="D84" s="288"/>
      <c r="E84" s="65"/>
      <c r="F84" s="464"/>
      <c r="G84" s="465"/>
      <c r="H84" s="465"/>
      <c r="I84" s="465"/>
      <c r="J84" s="466"/>
      <c r="K84" s="467"/>
      <c r="L84" s="468"/>
      <c r="M84" s="468"/>
      <c r="N84" s="468"/>
      <c r="O84" s="468"/>
      <c r="P84" s="468"/>
      <c r="Q84" s="468"/>
      <c r="R84" s="468"/>
      <c r="S84" s="469"/>
      <c r="T84" s="470"/>
      <c r="U84" s="471"/>
      <c r="V84" s="472"/>
      <c r="W84" s="472"/>
      <c r="X84" s="473"/>
      <c r="Y84" s="473"/>
      <c r="Z84" s="473"/>
      <c r="AA84" s="473"/>
      <c r="AB84" s="473"/>
      <c r="AC84" s="473"/>
      <c r="AD84" s="474"/>
      <c r="AF84" s="50"/>
    </row>
    <row r="85" spans="1:32" ht="30" customHeight="1">
      <c r="A85" s="454">
        <f>A84+1</f>
        <v>2</v>
      </c>
      <c r="B85" s="455"/>
      <c r="C85" s="287"/>
      <c r="D85" s="287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ref="A86:A90" si="28">A85+1</f>
        <v>3</v>
      </c>
      <c r="B86" s="455"/>
      <c r="C86" s="287"/>
      <c r="D86" s="287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8"/>
        <v>4</v>
      </c>
      <c r="B87" s="455"/>
      <c r="C87" s="287"/>
      <c r="D87" s="287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8"/>
        <v>5</v>
      </c>
      <c r="B88" s="455"/>
      <c r="C88" s="287"/>
      <c r="D88" s="287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8"/>
        <v>6</v>
      </c>
      <c r="B89" s="455"/>
      <c r="C89" s="287"/>
      <c r="D89" s="287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0" customHeight="1">
      <c r="A90" s="454">
        <f t="shared" si="28"/>
        <v>7</v>
      </c>
      <c r="B90" s="455"/>
      <c r="C90" s="287"/>
      <c r="D90" s="287"/>
      <c r="E90" s="32"/>
      <c r="F90" s="455"/>
      <c r="G90" s="455"/>
      <c r="H90" s="455"/>
      <c r="I90" s="455"/>
      <c r="J90" s="455"/>
      <c r="K90" s="456"/>
      <c r="L90" s="457"/>
      <c r="M90" s="457"/>
      <c r="N90" s="457"/>
      <c r="O90" s="457"/>
      <c r="P90" s="457"/>
      <c r="Q90" s="457"/>
      <c r="R90" s="457"/>
      <c r="S90" s="458"/>
      <c r="T90" s="459"/>
      <c r="U90" s="459"/>
      <c r="V90" s="459"/>
      <c r="W90" s="459"/>
      <c r="X90" s="460"/>
      <c r="Y90" s="460"/>
      <c r="Z90" s="460"/>
      <c r="AA90" s="460"/>
      <c r="AB90" s="460"/>
      <c r="AC90" s="460"/>
      <c r="AD90" s="461"/>
      <c r="AF90" s="50"/>
    </row>
    <row r="91" spans="1:32" ht="36" thickBot="1">
      <c r="A91" s="446" t="s">
        <v>689</v>
      </c>
      <c r="B91" s="446"/>
      <c r="C91" s="446"/>
      <c r="D91" s="446"/>
      <c r="E91" s="446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75" t="s">
        <v>111</v>
      </c>
      <c r="B92" s="449"/>
      <c r="C92" s="476" t="s">
        <v>52</v>
      </c>
      <c r="D92" s="476"/>
      <c r="E92" s="476" t="s">
        <v>53</v>
      </c>
      <c r="F92" s="476"/>
      <c r="G92" s="476"/>
      <c r="H92" s="476"/>
      <c r="I92" s="476"/>
      <c r="J92" s="476"/>
      <c r="K92" s="476" t="s">
        <v>54</v>
      </c>
      <c r="L92" s="476"/>
      <c r="M92" s="476"/>
      <c r="N92" s="476"/>
      <c r="O92" s="476"/>
      <c r="P92" s="476"/>
      <c r="Q92" s="476"/>
      <c r="R92" s="476"/>
      <c r="S92" s="476"/>
      <c r="T92" s="476" t="s">
        <v>55</v>
      </c>
      <c r="U92" s="476"/>
      <c r="V92" s="476" t="s">
        <v>56</v>
      </c>
      <c r="W92" s="476"/>
      <c r="X92" s="476"/>
      <c r="Y92" s="476" t="s">
        <v>51</v>
      </c>
      <c r="Z92" s="476"/>
      <c r="AA92" s="476"/>
      <c r="AB92" s="476"/>
      <c r="AC92" s="476"/>
      <c r="AD92" s="477"/>
      <c r="AF92" s="50"/>
    </row>
    <row r="93" spans="1:32" ht="30.75" customHeight="1">
      <c r="A93" s="462">
        <v>1</v>
      </c>
      <c r="B93" s="463"/>
      <c r="C93" s="478"/>
      <c r="D93" s="478"/>
      <c r="E93" s="478"/>
      <c r="F93" s="478"/>
      <c r="G93" s="478"/>
      <c r="H93" s="478"/>
      <c r="I93" s="478"/>
      <c r="J93" s="478"/>
      <c r="K93" s="478"/>
      <c r="L93" s="478"/>
      <c r="M93" s="478"/>
      <c r="N93" s="478"/>
      <c r="O93" s="478"/>
      <c r="P93" s="478"/>
      <c r="Q93" s="478"/>
      <c r="R93" s="478"/>
      <c r="S93" s="478"/>
      <c r="T93" s="478"/>
      <c r="U93" s="478"/>
      <c r="V93" s="479"/>
      <c r="W93" s="479"/>
      <c r="X93" s="479"/>
      <c r="Y93" s="480"/>
      <c r="Z93" s="480"/>
      <c r="AA93" s="480"/>
      <c r="AB93" s="480"/>
      <c r="AC93" s="480"/>
      <c r="AD93" s="481"/>
      <c r="AF93" s="50"/>
    </row>
    <row r="94" spans="1:32" ht="30.75" customHeight="1">
      <c r="A94" s="454">
        <v>2</v>
      </c>
      <c r="B94" s="455"/>
      <c r="C94" s="490"/>
      <c r="D94" s="490"/>
      <c r="E94" s="490"/>
      <c r="F94" s="490"/>
      <c r="G94" s="490"/>
      <c r="H94" s="490"/>
      <c r="I94" s="490"/>
      <c r="J94" s="490"/>
      <c r="K94" s="490"/>
      <c r="L94" s="490"/>
      <c r="M94" s="490"/>
      <c r="N94" s="490"/>
      <c r="O94" s="490"/>
      <c r="P94" s="490"/>
      <c r="Q94" s="490"/>
      <c r="R94" s="490"/>
      <c r="S94" s="490"/>
      <c r="T94" s="491"/>
      <c r="U94" s="491"/>
      <c r="V94" s="492"/>
      <c r="W94" s="492"/>
      <c r="X94" s="492"/>
      <c r="Y94" s="482"/>
      <c r="Z94" s="482"/>
      <c r="AA94" s="482"/>
      <c r="AB94" s="482"/>
      <c r="AC94" s="482"/>
      <c r="AD94" s="483"/>
      <c r="AF94" s="50"/>
    </row>
    <row r="95" spans="1:32" ht="30.75" customHeight="1" thickBot="1">
      <c r="A95" s="484">
        <v>3</v>
      </c>
      <c r="B95" s="485"/>
      <c r="C95" s="486"/>
      <c r="D95" s="486"/>
      <c r="E95" s="486"/>
      <c r="F95" s="486"/>
      <c r="G95" s="486"/>
      <c r="H95" s="486"/>
      <c r="I95" s="486"/>
      <c r="J95" s="486"/>
      <c r="K95" s="486"/>
      <c r="L95" s="486"/>
      <c r="M95" s="486"/>
      <c r="N95" s="486"/>
      <c r="O95" s="486"/>
      <c r="P95" s="486"/>
      <c r="Q95" s="486"/>
      <c r="R95" s="486"/>
      <c r="S95" s="486"/>
      <c r="T95" s="486"/>
      <c r="U95" s="486"/>
      <c r="V95" s="487"/>
      <c r="W95" s="487"/>
      <c r="X95" s="487"/>
      <c r="Y95" s="488"/>
      <c r="Z95" s="488"/>
      <c r="AA95" s="488"/>
      <c r="AB95" s="488"/>
      <c r="AC95" s="488"/>
      <c r="AD95" s="489"/>
      <c r="AF95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2AD0-9BDA-4EFB-BD78-A5F3F8AECE98}">
  <sheetPr>
    <pageSetUpPr fitToPage="1"/>
  </sheetPr>
  <dimension ref="A1:AF95"/>
  <sheetViews>
    <sheetView view="pageBreakPreview" zoomScale="70" zoomScaleNormal="72" zoomScaleSheetLayoutView="70" workbookViewId="0">
      <selection activeCell="L18" sqref="L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690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01" t="s">
        <v>17</v>
      </c>
      <c r="L5" s="301" t="s">
        <v>18</v>
      </c>
      <c r="M5" s="301" t="s">
        <v>19</v>
      </c>
      <c r="N5" s="30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115</v>
      </c>
      <c r="E6" s="53" t="s">
        <v>607</v>
      </c>
      <c r="F6" s="30" t="s">
        <v>125</v>
      </c>
      <c r="G6" s="12">
        <v>4</v>
      </c>
      <c r="H6" s="13">
        <v>24</v>
      </c>
      <c r="I6" s="31">
        <v>2000</v>
      </c>
      <c r="J6" s="14">
        <v>5300</v>
      </c>
      <c r="K6" s="15">
        <f>L6+5300</f>
        <v>5300</v>
      </c>
      <c r="L6" s="15"/>
      <c r="M6" s="15">
        <f t="shared" ref="M6:M29" si="0">L6-N6</f>
        <v>0</v>
      </c>
      <c r="N6" s="15">
        <v>0</v>
      </c>
      <c r="O6" s="58" t="str">
        <f t="shared" ref="O6:O30" si="1">IF(L6=0,"0",N6/L6)</f>
        <v>0</v>
      </c>
      <c r="P6" s="39" t="str">
        <f t="shared" ref="P6:P29" si="2">IF(L6=0,"0",(24-Q6))</f>
        <v>0</v>
      </c>
      <c r="Q6" s="40">
        <f t="shared" ref="Q6:Q29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9" si="4">IF(J6=0,"0",(L6/J6))</f>
        <v>0</v>
      </c>
      <c r="AC6" s="9">
        <f t="shared" ref="AC6:AC29" si="5">IF(P6=0,"0",(P6/24))</f>
        <v>0</v>
      </c>
      <c r="AD6" s="10">
        <f>AC6*AB6*(1-O6)</f>
        <v>0</v>
      </c>
      <c r="AE6" s="36">
        <f t="shared" ref="AE6:AE29" si="6">$AD$30</f>
        <v>0.37673611111111116</v>
      </c>
      <c r="AF6" s="81">
        <f t="shared" ref="AF6:AF29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644</v>
      </c>
      <c r="F7" s="30" t="s">
        <v>145</v>
      </c>
      <c r="G7" s="12">
        <v>1</v>
      </c>
      <c r="H7" s="13">
        <v>24</v>
      </c>
      <c r="I7" s="31">
        <v>190000</v>
      </c>
      <c r="J7" s="14">
        <v>11520</v>
      </c>
      <c r="K7" s="15">
        <f>L7+8898</f>
        <v>20418</v>
      </c>
      <c r="L7" s="15">
        <f>2886*2+2874*2</f>
        <v>11520</v>
      </c>
      <c r="M7" s="15">
        <f t="shared" si="0"/>
        <v>11520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9" si="8">AC7*AB7*(1-O7)</f>
        <v>1</v>
      </c>
      <c r="AE7" s="36">
        <f t="shared" si="6"/>
        <v>0.37673611111111116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563</v>
      </c>
      <c r="D8" s="52"/>
      <c r="E8" s="53" t="s">
        <v>665</v>
      </c>
      <c r="F8" s="30" t="s">
        <v>144</v>
      </c>
      <c r="G8" s="12">
        <v>1</v>
      </c>
      <c r="H8" s="13">
        <v>22</v>
      </c>
      <c r="I8" s="31">
        <v>500</v>
      </c>
      <c r="J8" s="5">
        <v>1269</v>
      </c>
      <c r="K8" s="15">
        <f>L8</f>
        <v>1269</v>
      </c>
      <c r="L8" s="15">
        <f>1085+184</f>
        <v>1269</v>
      </c>
      <c r="M8" s="15">
        <f t="shared" si="0"/>
        <v>1269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8"/>
        <v>0.29166666666666669</v>
      </c>
      <c r="AE8" s="36">
        <f t="shared" si="6"/>
        <v>0.37673611111111116</v>
      </c>
      <c r="AF8" s="81">
        <f t="shared" si="7"/>
        <v>3</v>
      </c>
    </row>
    <row r="9" spans="1:32" ht="27" customHeight="1">
      <c r="A9" s="93">
        <v>3</v>
      </c>
      <c r="B9" s="11" t="s">
        <v>57</v>
      </c>
      <c r="C9" s="34" t="s">
        <v>112</v>
      </c>
      <c r="D9" s="52" t="s">
        <v>128</v>
      </c>
      <c r="E9" s="53" t="s">
        <v>691</v>
      </c>
      <c r="F9" s="30" t="s">
        <v>130</v>
      </c>
      <c r="G9" s="12">
        <v>2</v>
      </c>
      <c r="H9" s="13">
        <v>22</v>
      </c>
      <c r="I9" s="31">
        <v>500</v>
      </c>
      <c r="J9" s="5">
        <v>752</v>
      </c>
      <c r="K9" s="15">
        <f>L9</f>
        <v>752</v>
      </c>
      <c r="L9" s="15">
        <f>376*2</f>
        <v>752</v>
      </c>
      <c r="M9" s="15">
        <f t="shared" si="0"/>
        <v>752</v>
      </c>
      <c r="N9" s="15">
        <v>0</v>
      </c>
      <c r="O9" s="58">
        <f t="shared" si="1"/>
        <v>0</v>
      </c>
      <c r="P9" s="39">
        <f t="shared" si="2"/>
        <v>4</v>
      </c>
      <c r="Q9" s="40">
        <f t="shared" si="3"/>
        <v>20</v>
      </c>
      <c r="R9" s="7"/>
      <c r="S9" s="6"/>
      <c r="T9" s="16"/>
      <c r="U9" s="16"/>
      <c r="V9" s="17"/>
      <c r="W9" s="5">
        <v>20</v>
      </c>
      <c r="X9" s="16"/>
      <c r="Y9" s="16"/>
      <c r="Z9" s="16"/>
      <c r="AA9" s="18"/>
      <c r="AB9" s="8">
        <f t="shared" si="4"/>
        <v>1</v>
      </c>
      <c r="AC9" s="9">
        <f t="shared" si="5"/>
        <v>0.16666666666666666</v>
      </c>
      <c r="AD9" s="10">
        <f t="shared" si="8"/>
        <v>0.16666666666666666</v>
      </c>
      <c r="AE9" s="36">
        <f t="shared" si="6"/>
        <v>0.37673611111111116</v>
      </c>
      <c r="AF9" s="81">
        <f t="shared" si="7"/>
        <v>3</v>
      </c>
    </row>
    <row r="10" spans="1:32" ht="27" customHeight="1">
      <c r="A10" s="93">
        <v>4</v>
      </c>
      <c r="B10" s="11" t="s">
        <v>57</v>
      </c>
      <c r="C10" s="34" t="s">
        <v>563</v>
      </c>
      <c r="D10" s="52"/>
      <c r="E10" s="53" t="s">
        <v>646</v>
      </c>
      <c r="F10" s="30" t="s">
        <v>161</v>
      </c>
      <c r="G10" s="12">
        <v>2</v>
      </c>
      <c r="H10" s="13">
        <v>24</v>
      </c>
      <c r="I10" s="7">
        <v>24500</v>
      </c>
      <c r="J10" s="14">
        <v>11534</v>
      </c>
      <c r="K10" s="15">
        <f>L10+7548</f>
        <v>19082</v>
      </c>
      <c r="L10" s="15">
        <f>2886*2+2881*2</f>
        <v>11534</v>
      </c>
      <c r="M10" s="15">
        <f t="shared" si="0"/>
        <v>11534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0.37673611111111116</v>
      </c>
      <c r="AF10" s="81">
        <f t="shared" si="7"/>
        <v>4</v>
      </c>
    </row>
    <row r="11" spans="1:32" ht="27" customHeight="1">
      <c r="A11" s="93">
        <v>5</v>
      </c>
      <c r="B11" s="11" t="s">
        <v>57</v>
      </c>
      <c r="C11" s="11" t="s">
        <v>563</v>
      </c>
      <c r="D11" s="52"/>
      <c r="E11" s="53" t="s">
        <v>608</v>
      </c>
      <c r="F11" s="30" t="s">
        <v>282</v>
      </c>
      <c r="G11" s="33">
        <v>2</v>
      </c>
      <c r="H11" s="35">
        <v>24</v>
      </c>
      <c r="I11" s="7">
        <v>24500</v>
      </c>
      <c r="J11" s="14">
        <v>9820</v>
      </c>
      <c r="K11" s="15">
        <f>L11+8462+9820</f>
        <v>28102</v>
      </c>
      <c r="L11" s="15">
        <f>2417*2+2493*2</f>
        <v>9820</v>
      </c>
      <c r="M11" s="15">
        <f t="shared" si="0"/>
        <v>9820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8"/>
        <v>1</v>
      </c>
      <c r="AE11" s="36">
        <f t="shared" si="6"/>
        <v>0.37673611111111116</v>
      </c>
      <c r="AF11" s="81">
        <f t="shared" si="7"/>
        <v>5</v>
      </c>
    </row>
    <row r="12" spans="1:32" ht="27" customHeight="1">
      <c r="A12" s="93">
        <v>6</v>
      </c>
      <c r="B12" s="11" t="s">
        <v>57</v>
      </c>
      <c r="C12" s="11" t="s">
        <v>112</v>
      </c>
      <c r="D12" s="52" t="s">
        <v>170</v>
      </c>
      <c r="E12" s="53" t="s">
        <v>339</v>
      </c>
      <c r="F12" s="30" t="s">
        <v>123</v>
      </c>
      <c r="G12" s="33">
        <v>1</v>
      </c>
      <c r="H12" s="35">
        <v>24</v>
      </c>
      <c r="I12" s="7">
        <v>7000</v>
      </c>
      <c r="J12" s="14">
        <v>1640</v>
      </c>
      <c r="K12" s="15">
        <f>L12+5672</f>
        <v>7312</v>
      </c>
      <c r="L12" s="15">
        <v>1640</v>
      </c>
      <c r="M12" s="15">
        <f t="shared" si="0"/>
        <v>1640</v>
      </c>
      <c r="N12" s="15">
        <v>0</v>
      </c>
      <c r="O12" s="58">
        <f t="shared" si="1"/>
        <v>0</v>
      </c>
      <c r="P12" s="39">
        <f t="shared" si="2"/>
        <v>8</v>
      </c>
      <c r="Q12" s="40">
        <f t="shared" si="3"/>
        <v>16</v>
      </c>
      <c r="R12" s="7"/>
      <c r="S12" s="6"/>
      <c r="T12" s="16"/>
      <c r="U12" s="16"/>
      <c r="V12" s="17"/>
      <c r="W12" s="5">
        <v>16</v>
      </c>
      <c r="X12" s="16"/>
      <c r="Y12" s="16"/>
      <c r="Z12" s="16"/>
      <c r="AA12" s="18"/>
      <c r="AB12" s="8">
        <f t="shared" si="4"/>
        <v>1</v>
      </c>
      <c r="AC12" s="9">
        <f t="shared" si="5"/>
        <v>0.33333333333333331</v>
      </c>
      <c r="AD12" s="10">
        <f t="shared" si="8"/>
        <v>0.33333333333333331</v>
      </c>
      <c r="AE12" s="36">
        <f t="shared" si="6"/>
        <v>0.37673611111111116</v>
      </c>
      <c r="AF12" s="81">
        <f t="shared" si="7"/>
        <v>6</v>
      </c>
    </row>
    <row r="13" spans="1:32" ht="27" customHeight="1">
      <c r="A13" s="93">
        <v>6</v>
      </c>
      <c r="B13" s="11" t="s">
        <v>57</v>
      </c>
      <c r="C13" s="11" t="s">
        <v>112</v>
      </c>
      <c r="D13" s="52" t="s">
        <v>121</v>
      </c>
      <c r="E13" s="53" t="s">
        <v>588</v>
      </c>
      <c r="F13" s="30" t="s">
        <v>130</v>
      </c>
      <c r="G13" s="33">
        <v>1</v>
      </c>
      <c r="H13" s="35">
        <v>24</v>
      </c>
      <c r="I13" s="7">
        <v>500</v>
      </c>
      <c r="J13" s="14">
        <v>500</v>
      </c>
      <c r="K13" s="15">
        <f>L13</f>
        <v>500</v>
      </c>
      <c r="L13" s="15">
        <v>500</v>
      </c>
      <c r="M13" s="15">
        <f t="shared" ref="M13" si="9">L13-N13</f>
        <v>500</v>
      </c>
      <c r="N13" s="15">
        <v>0</v>
      </c>
      <c r="O13" s="58">
        <f t="shared" ref="O13" si="10">IF(L13=0,"0",N13/L13)</f>
        <v>0</v>
      </c>
      <c r="P13" s="39">
        <f t="shared" ref="P13" si="11">IF(L13=0,"0",(24-Q13))</f>
        <v>4</v>
      </c>
      <c r="Q13" s="40">
        <f t="shared" ref="Q13" si="12">SUM(R13:AA13)</f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ref="AB13" si="13">IF(J13=0,"0",(L13/J13))</f>
        <v>1</v>
      </c>
      <c r="AC13" s="9">
        <f t="shared" ref="AC13" si="14">IF(P13=0,"0",(P13/24))</f>
        <v>0.16666666666666666</v>
      </c>
      <c r="AD13" s="10">
        <f t="shared" ref="AD13" si="15">AC13*AB13*(1-O13)</f>
        <v>0.16666666666666666</v>
      </c>
      <c r="AE13" s="36">
        <f t="shared" si="6"/>
        <v>0.37673611111111116</v>
      </c>
      <c r="AF13" s="81">
        <f t="shared" ref="AF13" si="16">A13</f>
        <v>6</v>
      </c>
    </row>
    <row r="14" spans="1:32" ht="27" customHeight="1">
      <c r="A14" s="93">
        <v>7</v>
      </c>
      <c r="B14" s="11" t="s">
        <v>57</v>
      </c>
      <c r="C14" s="34" t="s">
        <v>116</v>
      </c>
      <c r="D14" s="52" t="s">
        <v>115</v>
      </c>
      <c r="E14" s="53" t="s">
        <v>164</v>
      </c>
      <c r="F14" s="30" t="s">
        <v>123</v>
      </c>
      <c r="G14" s="12">
        <v>1</v>
      </c>
      <c r="H14" s="13">
        <v>22</v>
      </c>
      <c r="I14" s="31">
        <f>70000+110000</f>
        <v>180000</v>
      </c>
      <c r="J14" s="5">
        <v>5288</v>
      </c>
      <c r="K14" s="15">
        <f>L14+5056+5299+5142+4725+5285+5308+3502+5153+5075+5268+5338+5267+5184+5110+5267+5309+13944+5077+5113+5283+5335+5351+3987+5016</f>
        <v>135682</v>
      </c>
      <c r="L14" s="15">
        <f>2639+2649</f>
        <v>5288</v>
      </c>
      <c r="M14" s="15">
        <f t="shared" si="0"/>
        <v>5288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0.37673611111111116</v>
      </c>
      <c r="AF14" s="81">
        <f t="shared" si="7"/>
        <v>7</v>
      </c>
    </row>
    <row r="15" spans="1:32" ht="27" customHeight="1">
      <c r="A15" s="93">
        <v>8</v>
      </c>
      <c r="B15" s="11" t="s">
        <v>57</v>
      </c>
      <c r="C15" s="11" t="s">
        <v>112</v>
      </c>
      <c r="D15" s="52" t="s">
        <v>154</v>
      </c>
      <c r="E15" s="53" t="s">
        <v>486</v>
      </c>
      <c r="F15" s="30" t="s">
        <v>123</v>
      </c>
      <c r="G15" s="33">
        <v>1</v>
      </c>
      <c r="H15" s="35">
        <v>22</v>
      </c>
      <c r="I15" s="7">
        <v>32000</v>
      </c>
      <c r="J15" s="14">
        <v>6286</v>
      </c>
      <c r="K15" s="15">
        <f>L15+6014+6382+6362+5997+6082</f>
        <v>37123</v>
      </c>
      <c r="L15" s="15">
        <f>3138+3148</f>
        <v>6286</v>
      </c>
      <c r="M15" s="15">
        <f t="shared" si="0"/>
        <v>6286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8"/>
        <v>1</v>
      </c>
      <c r="AE15" s="36">
        <f t="shared" si="6"/>
        <v>0.37673611111111116</v>
      </c>
      <c r="AF15" s="81">
        <f t="shared" si="7"/>
        <v>8</v>
      </c>
    </row>
    <row r="16" spans="1:32" ht="27" customHeight="1">
      <c r="A16" s="100">
        <v>9</v>
      </c>
      <c r="B16" s="11" t="s">
        <v>57</v>
      </c>
      <c r="C16" s="34" t="s">
        <v>112</v>
      </c>
      <c r="D16" s="52" t="s">
        <v>115</v>
      </c>
      <c r="E16" s="53" t="s">
        <v>639</v>
      </c>
      <c r="F16" s="30" t="s">
        <v>647</v>
      </c>
      <c r="G16" s="33">
        <v>1</v>
      </c>
      <c r="H16" s="35">
        <v>50</v>
      </c>
      <c r="I16" s="7">
        <v>300</v>
      </c>
      <c r="J16" s="5">
        <v>6132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0.37673611111111116</v>
      </c>
      <c r="AF16" s="81">
        <f t="shared" si="7"/>
        <v>9</v>
      </c>
    </row>
    <row r="17" spans="1:32" ht="27" customHeight="1">
      <c r="A17" s="107">
        <v>10</v>
      </c>
      <c r="B17" s="11" t="s">
        <v>57</v>
      </c>
      <c r="C17" s="34" t="s">
        <v>112</v>
      </c>
      <c r="D17" s="52" t="s">
        <v>146</v>
      </c>
      <c r="E17" s="53" t="s">
        <v>610</v>
      </c>
      <c r="F17" s="30" t="s">
        <v>148</v>
      </c>
      <c r="G17" s="12">
        <v>1</v>
      </c>
      <c r="H17" s="13">
        <v>24</v>
      </c>
      <c r="I17" s="31">
        <v>3300</v>
      </c>
      <c r="J17" s="14">
        <v>4832</v>
      </c>
      <c r="K17" s="15">
        <f>L17+4832</f>
        <v>4832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8"/>
        <v>0</v>
      </c>
      <c r="AE17" s="36">
        <f t="shared" si="6"/>
        <v>0.37673611111111116</v>
      </c>
      <c r="AF17" s="81">
        <f t="shared" si="7"/>
        <v>10</v>
      </c>
    </row>
    <row r="18" spans="1:32" ht="27" customHeight="1">
      <c r="A18" s="107">
        <v>11</v>
      </c>
      <c r="B18" s="11" t="s">
        <v>57</v>
      </c>
      <c r="C18" s="34" t="s">
        <v>563</v>
      </c>
      <c r="D18" s="52"/>
      <c r="E18" s="53" t="s">
        <v>659</v>
      </c>
      <c r="F18" s="30" t="s">
        <v>161</v>
      </c>
      <c r="G18" s="12">
        <v>2</v>
      </c>
      <c r="H18" s="13">
        <v>24</v>
      </c>
      <c r="I18" s="7">
        <v>24500</v>
      </c>
      <c r="J18" s="14">
        <v>10730</v>
      </c>
      <c r="K18" s="15">
        <f>L18</f>
        <v>10730</v>
      </c>
      <c r="L18" s="15">
        <f>2340*2+3025*2</f>
        <v>10730</v>
      </c>
      <c r="M18" s="15">
        <f t="shared" si="0"/>
        <v>10730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8"/>
        <v>0.95833333333333337</v>
      </c>
      <c r="AE18" s="36">
        <f t="shared" si="6"/>
        <v>0.37673611111111116</v>
      </c>
      <c r="AF18" s="81">
        <f t="shared" si="7"/>
        <v>11</v>
      </c>
    </row>
    <row r="19" spans="1:32" ht="27" customHeight="1">
      <c r="A19" s="107">
        <v>12</v>
      </c>
      <c r="B19" s="11" t="s">
        <v>57</v>
      </c>
      <c r="C19" s="34" t="s">
        <v>129</v>
      </c>
      <c r="D19" s="52" t="s">
        <v>131</v>
      </c>
      <c r="E19" s="53" t="s">
        <v>556</v>
      </c>
      <c r="F19" s="30" t="s">
        <v>572</v>
      </c>
      <c r="G19" s="12">
        <v>2</v>
      </c>
      <c r="H19" s="13">
        <v>24</v>
      </c>
      <c r="I19" s="7">
        <v>15000</v>
      </c>
      <c r="J19" s="14">
        <v>7542</v>
      </c>
      <c r="K19" s="15">
        <f>L19</f>
        <v>7542</v>
      </c>
      <c r="L19" s="15">
        <f>792*2+2979*2</f>
        <v>7542</v>
      </c>
      <c r="M19" s="15">
        <f t="shared" si="0"/>
        <v>7542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8"/>
        <v>0.75</v>
      </c>
      <c r="AE19" s="36">
        <f t="shared" si="6"/>
        <v>0.37673611111111116</v>
      </c>
      <c r="AF19" s="81">
        <f t="shared" si="7"/>
        <v>12</v>
      </c>
    </row>
    <row r="20" spans="1:32" ht="27" customHeight="1">
      <c r="A20" s="107">
        <v>13</v>
      </c>
      <c r="B20" s="11" t="s">
        <v>57</v>
      </c>
      <c r="C20" s="34" t="s">
        <v>112</v>
      </c>
      <c r="D20" s="52" t="s">
        <v>115</v>
      </c>
      <c r="E20" s="53" t="s">
        <v>208</v>
      </c>
      <c r="F20" s="30" t="s">
        <v>209</v>
      </c>
      <c r="G20" s="12">
        <v>1</v>
      </c>
      <c r="H20" s="13">
        <v>24</v>
      </c>
      <c r="I20" s="7">
        <v>100</v>
      </c>
      <c r="J20" s="14">
        <v>143</v>
      </c>
      <c r="K20" s="15">
        <f>L20</f>
        <v>143</v>
      </c>
      <c r="L20" s="15">
        <v>143</v>
      </c>
      <c r="M20" s="15">
        <f t="shared" si="0"/>
        <v>143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8"/>
        <v>0.16666666666666666</v>
      </c>
      <c r="AE20" s="36">
        <f t="shared" si="6"/>
        <v>0.37673611111111116</v>
      </c>
      <c r="AF20" s="81">
        <f t="shared" si="7"/>
        <v>13</v>
      </c>
    </row>
    <row r="21" spans="1:32" ht="27" customHeight="1">
      <c r="A21" s="93">
        <v>14</v>
      </c>
      <c r="B21" s="11" t="s">
        <v>57</v>
      </c>
      <c r="C21" s="11" t="s">
        <v>112</v>
      </c>
      <c r="D21" s="52" t="s">
        <v>353</v>
      </c>
      <c r="E21" s="53" t="s">
        <v>630</v>
      </c>
      <c r="F21" s="30" t="s">
        <v>130</v>
      </c>
      <c r="G21" s="33">
        <v>2</v>
      </c>
      <c r="H21" s="35">
        <v>24</v>
      </c>
      <c r="I21" s="7">
        <v>1500</v>
      </c>
      <c r="J21" s="14">
        <v>1768</v>
      </c>
      <c r="K21" s="15">
        <f>L21</f>
        <v>1768</v>
      </c>
      <c r="L21" s="15">
        <f>238*2+646*2</f>
        <v>1768</v>
      </c>
      <c r="M21" s="15">
        <f t="shared" si="0"/>
        <v>1768</v>
      </c>
      <c r="N21" s="15">
        <v>0</v>
      </c>
      <c r="O21" s="58">
        <f t="shared" si="1"/>
        <v>0</v>
      </c>
      <c r="P21" s="39">
        <f t="shared" si="2"/>
        <v>5</v>
      </c>
      <c r="Q21" s="40">
        <f t="shared" si="3"/>
        <v>19</v>
      </c>
      <c r="R21" s="7"/>
      <c r="S21" s="6"/>
      <c r="T21" s="16"/>
      <c r="U21" s="16"/>
      <c r="V21" s="17"/>
      <c r="W21" s="5">
        <v>19</v>
      </c>
      <c r="X21" s="16"/>
      <c r="Y21" s="16"/>
      <c r="Z21" s="16"/>
      <c r="AA21" s="18"/>
      <c r="AB21" s="8">
        <f t="shared" si="4"/>
        <v>1</v>
      </c>
      <c r="AC21" s="9">
        <f t="shared" si="5"/>
        <v>0.20833333333333334</v>
      </c>
      <c r="AD21" s="10">
        <f t="shared" si="8"/>
        <v>0.20833333333333334</v>
      </c>
      <c r="AE21" s="36">
        <f t="shared" si="6"/>
        <v>0.37673611111111116</v>
      </c>
      <c r="AF21" s="81">
        <f t="shared" si="7"/>
        <v>14</v>
      </c>
    </row>
    <row r="22" spans="1:32" ht="27" customHeight="1">
      <c r="A22" s="107">
        <v>15</v>
      </c>
      <c r="B22" s="11" t="s">
        <v>57</v>
      </c>
      <c r="C22" s="11" t="s">
        <v>112</v>
      </c>
      <c r="D22" s="52" t="s">
        <v>128</v>
      </c>
      <c r="E22" s="53" t="s">
        <v>158</v>
      </c>
      <c r="F22" s="30" t="s">
        <v>124</v>
      </c>
      <c r="G22" s="33">
        <v>4</v>
      </c>
      <c r="H22" s="35">
        <v>24</v>
      </c>
      <c r="I22" s="7">
        <v>360000</v>
      </c>
      <c r="J22" s="14">
        <v>20332</v>
      </c>
      <c r="K22" s="15">
        <f>L22+16424+3460+8466+14048+14809+10420+6468+20028+25064+24256+18744+23224+19112+21656+19860+24856+20332</f>
        <v>291227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>
        <v>24</v>
      </c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0.37673611111111116</v>
      </c>
      <c r="AF22" s="81">
        <f t="shared" si="7"/>
        <v>15</v>
      </c>
    </row>
    <row r="23" spans="1:32" ht="26.25" customHeight="1">
      <c r="A23" s="93">
        <v>16</v>
      </c>
      <c r="B23" s="11" t="s">
        <v>57</v>
      </c>
      <c r="C23" s="11" t="s">
        <v>113</v>
      </c>
      <c r="D23" s="52"/>
      <c r="E23" s="53" t="s">
        <v>494</v>
      </c>
      <c r="F23" s="12" t="s">
        <v>114</v>
      </c>
      <c r="G23" s="12">
        <v>4</v>
      </c>
      <c r="H23" s="35">
        <v>20</v>
      </c>
      <c r="I23" s="7">
        <v>2000000</v>
      </c>
      <c r="J23" s="14">
        <v>63964</v>
      </c>
      <c r="K23" s="15">
        <f>L23+34748+57176+64908+60896+57820</f>
        <v>339512</v>
      </c>
      <c r="L23" s="15">
        <f>8037*4+7954*4</f>
        <v>63964</v>
      </c>
      <c r="M23" s="15">
        <f t="shared" si="0"/>
        <v>63964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8"/>
        <v>1</v>
      </c>
      <c r="AE23" s="36">
        <f t="shared" si="6"/>
        <v>0.37673611111111116</v>
      </c>
      <c r="AF23" s="81">
        <f t="shared" si="7"/>
        <v>16</v>
      </c>
    </row>
    <row r="24" spans="1:32" ht="21.75" customHeight="1">
      <c r="A24" s="93">
        <v>31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ref="K24:K25" si="17"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0.37673611111111116</v>
      </c>
      <c r="AF24" s="81">
        <f t="shared" si="7"/>
        <v>31</v>
      </c>
    </row>
    <row r="25" spans="1:32" ht="21.75" customHeight="1">
      <c r="A25" s="93">
        <v>32</v>
      </c>
      <c r="B25" s="11" t="s">
        <v>57</v>
      </c>
      <c r="C25" s="11"/>
      <c r="D25" s="52"/>
      <c r="E25" s="53"/>
      <c r="F25" s="12"/>
      <c r="G25" s="12"/>
      <c r="H25" s="35">
        <v>20</v>
      </c>
      <c r="I25" s="7"/>
      <c r="J25" s="14">
        <v>0</v>
      </c>
      <c r="K25" s="15">
        <f t="shared" si="17"/>
        <v>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7"/>
      <c r="W25" s="5">
        <v>24</v>
      </c>
      <c r="X25" s="16"/>
      <c r="Y25" s="16"/>
      <c r="Z25" s="16"/>
      <c r="AA25" s="18"/>
      <c r="AB25" s="8" t="str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0.37673611111111116</v>
      </c>
      <c r="AF25" s="81">
        <f t="shared" si="7"/>
        <v>32</v>
      </c>
    </row>
    <row r="26" spans="1:32" ht="21.75" customHeight="1">
      <c r="A26" s="93">
        <v>33</v>
      </c>
      <c r="B26" s="11" t="s">
        <v>57</v>
      </c>
      <c r="C26" s="11" t="s">
        <v>116</v>
      </c>
      <c r="D26" s="52" t="s">
        <v>170</v>
      </c>
      <c r="E26" s="53" t="s">
        <v>168</v>
      </c>
      <c r="F26" s="12" t="s">
        <v>124</v>
      </c>
      <c r="G26" s="12">
        <v>4</v>
      </c>
      <c r="H26" s="35">
        <v>20</v>
      </c>
      <c r="I26" s="7">
        <v>60000</v>
      </c>
      <c r="J26" s="14">
        <v>28124</v>
      </c>
      <c r="K26" s="15">
        <f>L26+23172+28124+27392</f>
        <v>78688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0.37673611111111116</v>
      </c>
      <c r="AF26" s="81">
        <f t="shared" si="7"/>
        <v>33</v>
      </c>
    </row>
    <row r="27" spans="1:32" ht="21.75" customHeight="1">
      <c r="A27" s="93">
        <v>34</v>
      </c>
      <c r="B27" s="11" t="s">
        <v>57</v>
      </c>
      <c r="C27" s="11" t="s">
        <v>116</v>
      </c>
      <c r="D27" s="52" t="s">
        <v>131</v>
      </c>
      <c r="E27" s="53" t="s">
        <v>134</v>
      </c>
      <c r="F27" s="12" t="s">
        <v>125</v>
      </c>
      <c r="G27" s="12">
        <v>4</v>
      </c>
      <c r="H27" s="35">
        <v>20</v>
      </c>
      <c r="I27" s="7">
        <v>60000</v>
      </c>
      <c r="J27" s="14">
        <v>26768</v>
      </c>
      <c r="K27" s="15">
        <f>L27+24016+26768+22600</f>
        <v>73384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0.37673611111111116</v>
      </c>
      <c r="AF27" s="81">
        <f t="shared" si="7"/>
        <v>34</v>
      </c>
    </row>
    <row r="28" spans="1:32" ht="21.75" customHeight="1">
      <c r="A28" s="93">
        <v>35</v>
      </c>
      <c r="B28" s="11" t="s">
        <v>57</v>
      </c>
      <c r="C28" s="11" t="s">
        <v>116</v>
      </c>
      <c r="D28" s="52" t="s">
        <v>121</v>
      </c>
      <c r="E28" s="53" t="s">
        <v>126</v>
      </c>
      <c r="F28" s="12" t="s">
        <v>125</v>
      </c>
      <c r="G28" s="12">
        <v>4</v>
      </c>
      <c r="H28" s="35">
        <v>20</v>
      </c>
      <c r="I28" s="7">
        <v>60000</v>
      </c>
      <c r="J28" s="14">
        <v>26944</v>
      </c>
      <c r="K28" s="15">
        <f>L28+24592+26944+21716</f>
        <v>73252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0.37673611111111116</v>
      </c>
      <c r="AF28" s="81">
        <f t="shared" si="7"/>
        <v>35</v>
      </c>
    </row>
    <row r="29" spans="1:32" ht="21.75" customHeight="1" thickBot="1">
      <c r="A29" s="93">
        <v>36</v>
      </c>
      <c r="B29" s="11" t="s">
        <v>57</v>
      </c>
      <c r="C29" s="11" t="s">
        <v>116</v>
      </c>
      <c r="D29" s="52" t="s">
        <v>115</v>
      </c>
      <c r="E29" s="53" t="s">
        <v>169</v>
      </c>
      <c r="F29" s="12" t="s">
        <v>144</v>
      </c>
      <c r="G29" s="12">
        <v>4</v>
      </c>
      <c r="H29" s="35">
        <v>20</v>
      </c>
      <c r="I29" s="7">
        <v>60000</v>
      </c>
      <c r="J29" s="14">
        <v>26192</v>
      </c>
      <c r="K29" s="15">
        <f>L29+20088+26192+24640</f>
        <v>70920</v>
      </c>
      <c r="L29" s="15"/>
      <c r="M29" s="15">
        <f t="shared" si="0"/>
        <v>0</v>
      </c>
      <c r="N29" s="15">
        <v>0</v>
      </c>
      <c r="O29" s="58" t="str">
        <f t="shared" si="1"/>
        <v>0</v>
      </c>
      <c r="P29" s="39" t="str">
        <f t="shared" si="2"/>
        <v>0</v>
      </c>
      <c r="Q29" s="40">
        <f t="shared" si="3"/>
        <v>24</v>
      </c>
      <c r="R29" s="7"/>
      <c r="S29" s="6"/>
      <c r="T29" s="16"/>
      <c r="U29" s="16"/>
      <c r="V29" s="115"/>
      <c r="W29" s="5">
        <v>24</v>
      </c>
      <c r="X29" s="16"/>
      <c r="Y29" s="16"/>
      <c r="Z29" s="16"/>
      <c r="AA29" s="18"/>
      <c r="AB29" s="8">
        <f t="shared" si="4"/>
        <v>0</v>
      </c>
      <c r="AC29" s="9">
        <f t="shared" si="5"/>
        <v>0</v>
      </c>
      <c r="AD29" s="10">
        <f t="shared" si="8"/>
        <v>0</v>
      </c>
      <c r="AE29" s="36">
        <f t="shared" si="6"/>
        <v>0.37673611111111116</v>
      </c>
      <c r="AF29" s="81">
        <f t="shared" si="7"/>
        <v>36</v>
      </c>
    </row>
    <row r="30" spans="1:32" ht="19.5" thickBot="1">
      <c r="A30" s="384" t="s">
        <v>34</v>
      </c>
      <c r="B30" s="385"/>
      <c r="C30" s="385"/>
      <c r="D30" s="385"/>
      <c r="E30" s="385"/>
      <c r="F30" s="385"/>
      <c r="G30" s="385"/>
      <c r="H30" s="386"/>
      <c r="I30" s="22">
        <f t="shared" ref="I30:N30" si="18">SUM(I6:I29)</f>
        <v>3106200</v>
      </c>
      <c r="J30" s="19">
        <f t="shared" si="18"/>
        <v>277380</v>
      </c>
      <c r="K30" s="20">
        <f t="shared" si="18"/>
        <v>1207538</v>
      </c>
      <c r="L30" s="21">
        <f t="shared" si="18"/>
        <v>132756</v>
      </c>
      <c r="M30" s="20">
        <f t="shared" si="18"/>
        <v>132756</v>
      </c>
      <c r="N30" s="21">
        <f t="shared" si="18"/>
        <v>0</v>
      </c>
      <c r="O30" s="41">
        <f t="shared" si="1"/>
        <v>0</v>
      </c>
      <c r="P30" s="42">
        <f t="shared" ref="P30:AA30" si="19">SUM(P6:P29)</f>
        <v>217</v>
      </c>
      <c r="Q30" s="43">
        <f t="shared" si="19"/>
        <v>359</v>
      </c>
      <c r="R30" s="23">
        <f t="shared" si="19"/>
        <v>24</v>
      </c>
      <c r="S30" s="24">
        <f t="shared" si="19"/>
        <v>30</v>
      </c>
      <c r="T30" s="24">
        <f t="shared" si="19"/>
        <v>1</v>
      </c>
      <c r="U30" s="24">
        <f t="shared" si="19"/>
        <v>0</v>
      </c>
      <c r="V30" s="25">
        <f t="shared" si="19"/>
        <v>0</v>
      </c>
      <c r="W30" s="26">
        <f t="shared" si="19"/>
        <v>280</v>
      </c>
      <c r="X30" s="27">
        <f t="shared" si="19"/>
        <v>0</v>
      </c>
      <c r="Y30" s="27">
        <f t="shared" si="19"/>
        <v>0</v>
      </c>
      <c r="Z30" s="27">
        <f t="shared" si="19"/>
        <v>0</v>
      </c>
      <c r="AA30" s="27">
        <f t="shared" si="19"/>
        <v>24</v>
      </c>
      <c r="AB30" s="28">
        <f>AVERAGE(AB6:AB29)</f>
        <v>0.63636363636363635</v>
      </c>
      <c r="AC30" s="4">
        <f>AVERAGE(AC6:AC29)</f>
        <v>0.37673611111111116</v>
      </c>
      <c r="AD30" s="4">
        <f>AVERAGE(AD6:AD29)</f>
        <v>0.37673611111111116</v>
      </c>
      <c r="AE30" s="29"/>
    </row>
    <row r="31" spans="1:32">
      <c r="T31" s="50" t="s">
        <v>132</v>
      </c>
    </row>
    <row r="32" spans="1:32" ht="18.75">
      <c r="A32" s="2"/>
      <c r="B32" s="2" t="s">
        <v>35</v>
      </c>
      <c r="C32" s="2"/>
      <c r="D32" s="2"/>
      <c r="E32" s="2"/>
      <c r="F32" s="2"/>
      <c r="G32" s="2"/>
      <c r="H32" s="3"/>
      <c r="I32" s="3"/>
      <c r="J32" s="2"/>
      <c r="K32" s="2"/>
      <c r="L32" s="2"/>
      <c r="M32" s="2"/>
      <c r="N32" s="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1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 t="s">
        <v>133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82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F46" s="50"/>
    </row>
    <row r="47" spans="1:32" ht="27">
      <c r="A47" s="59"/>
      <c r="B47" s="59"/>
      <c r="C47" s="59"/>
      <c r="D47" s="59"/>
      <c r="E47" s="59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F47" s="50"/>
    </row>
    <row r="48" spans="1:32" ht="29.25" customHeight="1">
      <c r="A48" s="60"/>
      <c r="B48" s="60"/>
      <c r="C48" s="61"/>
      <c r="D48" s="61"/>
      <c r="E48" s="61"/>
      <c r="F48" s="60"/>
      <c r="G48" s="60"/>
      <c r="H48" s="60"/>
      <c r="I48" s="60"/>
      <c r="J48" s="60"/>
      <c r="K48" s="60"/>
      <c r="L48" s="60"/>
      <c r="M48" s="61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29.25" customHeight="1">
      <c r="A55" s="60"/>
      <c r="B55" s="60"/>
      <c r="C55" s="62"/>
      <c r="D55" s="61"/>
      <c r="E55" s="61"/>
      <c r="F55" s="60"/>
      <c r="G55" s="60"/>
      <c r="H55" s="60"/>
      <c r="I55" s="60"/>
      <c r="J55" s="60"/>
      <c r="K55" s="60"/>
      <c r="L55" s="60"/>
      <c r="M55" s="62"/>
      <c r="N55" s="60"/>
      <c r="O55" s="60"/>
      <c r="P55" s="63"/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0"/>
      <c r="AC55" s="60"/>
      <c r="AD55" s="60"/>
      <c r="AF55" s="50"/>
    </row>
    <row r="56" spans="1:32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36" thickBot="1">
      <c r="A57" s="387" t="s">
        <v>45</v>
      </c>
      <c r="B57" s="387"/>
      <c r="C57" s="387"/>
      <c r="D57" s="387"/>
      <c r="E57" s="387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F57" s="50"/>
    </row>
    <row r="58" spans="1:32" ht="26.25" thickBot="1">
      <c r="A58" s="388" t="s">
        <v>692</v>
      </c>
      <c r="B58" s="389"/>
      <c r="C58" s="389"/>
      <c r="D58" s="389"/>
      <c r="E58" s="389"/>
      <c r="F58" s="389"/>
      <c r="G58" s="389"/>
      <c r="H58" s="389"/>
      <c r="I58" s="389"/>
      <c r="J58" s="389"/>
      <c r="K58" s="389"/>
      <c r="L58" s="389"/>
      <c r="M58" s="390"/>
      <c r="N58" s="391" t="s">
        <v>702</v>
      </c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  <c r="AA58" s="392"/>
      <c r="AB58" s="392"/>
      <c r="AC58" s="392"/>
      <c r="AD58" s="393"/>
    </row>
    <row r="59" spans="1:32" ht="27" customHeight="1">
      <c r="A59" s="394" t="s">
        <v>2</v>
      </c>
      <c r="B59" s="395"/>
      <c r="C59" s="300" t="s">
        <v>46</v>
      </c>
      <c r="D59" s="300" t="s">
        <v>47</v>
      </c>
      <c r="E59" s="300" t="s">
        <v>107</v>
      </c>
      <c r="F59" s="396" t="s">
        <v>106</v>
      </c>
      <c r="G59" s="397"/>
      <c r="H59" s="397"/>
      <c r="I59" s="397"/>
      <c r="J59" s="397"/>
      <c r="K59" s="397"/>
      <c r="L59" s="397"/>
      <c r="M59" s="398"/>
      <c r="N59" s="67" t="s">
        <v>110</v>
      </c>
      <c r="O59" s="300" t="s">
        <v>46</v>
      </c>
      <c r="P59" s="396" t="s">
        <v>47</v>
      </c>
      <c r="Q59" s="399"/>
      <c r="R59" s="396" t="s">
        <v>38</v>
      </c>
      <c r="S59" s="397"/>
      <c r="T59" s="397"/>
      <c r="U59" s="399"/>
      <c r="V59" s="396" t="s">
        <v>48</v>
      </c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410" t="s">
        <v>563</v>
      </c>
      <c r="B60" s="411"/>
      <c r="C60" s="296" t="s">
        <v>151</v>
      </c>
      <c r="D60" s="296"/>
      <c r="E60" s="296" t="s">
        <v>665</v>
      </c>
      <c r="F60" s="412" t="s">
        <v>122</v>
      </c>
      <c r="G60" s="413"/>
      <c r="H60" s="413"/>
      <c r="I60" s="413"/>
      <c r="J60" s="413"/>
      <c r="K60" s="413"/>
      <c r="L60" s="413"/>
      <c r="M60" s="414"/>
      <c r="N60" s="299" t="s">
        <v>112</v>
      </c>
      <c r="O60" s="293" t="s">
        <v>151</v>
      </c>
      <c r="P60" s="415" t="s">
        <v>115</v>
      </c>
      <c r="Q60" s="416"/>
      <c r="R60" s="415" t="s">
        <v>289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112</v>
      </c>
      <c r="B61" s="411"/>
      <c r="C61" s="296" t="s">
        <v>151</v>
      </c>
      <c r="D61" s="296" t="s">
        <v>128</v>
      </c>
      <c r="E61" s="296" t="s">
        <v>693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299" t="s">
        <v>112</v>
      </c>
      <c r="O61" s="293" t="s">
        <v>656</v>
      </c>
      <c r="P61" s="415" t="s">
        <v>115</v>
      </c>
      <c r="Q61" s="416"/>
      <c r="R61" s="415" t="s">
        <v>657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563</v>
      </c>
      <c r="B62" s="411"/>
      <c r="C62" s="296" t="s">
        <v>200</v>
      </c>
      <c r="D62" s="296"/>
      <c r="E62" s="296" t="s">
        <v>659</v>
      </c>
      <c r="F62" s="412" t="s">
        <v>122</v>
      </c>
      <c r="G62" s="413"/>
      <c r="H62" s="413"/>
      <c r="I62" s="413"/>
      <c r="J62" s="413"/>
      <c r="K62" s="413"/>
      <c r="L62" s="413"/>
      <c r="M62" s="414"/>
      <c r="N62" s="304" t="s">
        <v>129</v>
      </c>
      <c r="O62" s="311" t="s">
        <v>262</v>
      </c>
      <c r="P62" s="415" t="s">
        <v>115</v>
      </c>
      <c r="Q62" s="416"/>
      <c r="R62" s="415" t="s">
        <v>663</v>
      </c>
      <c r="S62" s="417"/>
      <c r="T62" s="417"/>
      <c r="U62" s="416"/>
      <c r="V62" s="412" t="s">
        <v>122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296" t="s">
        <v>695</v>
      </c>
      <c r="D63" s="296" t="s">
        <v>696</v>
      </c>
      <c r="E63" s="296" t="s">
        <v>694</v>
      </c>
      <c r="F63" s="412" t="s">
        <v>122</v>
      </c>
      <c r="G63" s="413"/>
      <c r="H63" s="413"/>
      <c r="I63" s="413"/>
      <c r="J63" s="413"/>
      <c r="K63" s="413"/>
      <c r="L63" s="413"/>
      <c r="M63" s="414"/>
      <c r="N63" s="304" t="s">
        <v>112</v>
      </c>
      <c r="O63" s="311" t="s">
        <v>253</v>
      </c>
      <c r="P63" s="415" t="s">
        <v>115</v>
      </c>
      <c r="Q63" s="416"/>
      <c r="R63" s="415" t="s">
        <v>667</v>
      </c>
      <c r="S63" s="417"/>
      <c r="T63" s="417"/>
      <c r="U63" s="416"/>
      <c r="V63" s="412" t="s">
        <v>122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129</v>
      </c>
      <c r="B64" s="411"/>
      <c r="C64" s="296" t="s">
        <v>296</v>
      </c>
      <c r="D64" s="296" t="s">
        <v>131</v>
      </c>
      <c r="E64" s="296" t="s">
        <v>697</v>
      </c>
      <c r="F64" s="412" t="s">
        <v>698</v>
      </c>
      <c r="G64" s="413"/>
      <c r="H64" s="413"/>
      <c r="I64" s="413"/>
      <c r="J64" s="413"/>
      <c r="K64" s="413"/>
      <c r="L64" s="413"/>
      <c r="M64" s="414"/>
      <c r="N64" s="304" t="s">
        <v>112</v>
      </c>
      <c r="O64" s="311" t="s">
        <v>253</v>
      </c>
      <c r="P64" s="415" t="s">
        <v>115</v>
      </c>
      <c r="Q64" s="416"/>
      <c r="R64" s="415" t="s">
        <v>667</v>
      </c>
      <c r="S64" s="417"/>
      <c r="T64" s="417"/>
      <c r="U64" s="416"/>
      <c r="V64" s="412" t="s">
        <v>122</v>
      </c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112</v>
      </c>
      <c r="B65" s="411"/>
      <c r="C65" s="296" t="s">
        <v>653</v>
      </c>
      <c r="D65" s="296" t="s">
        <v>115</v>
      </c>
      <c r="E65" s="296" t="s">
        <v>208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299"/>
      <c r="O65" s="293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10" t="s">
        <v>112</v>
      </c>
      <c r="B66" s="411"/>
      <c r="C66" s="296" t="s">
        <v>701</v>
      </c>
      <c r="D66" s="296" t="s">
        <v>115</v>
      </c>
      <c r="E66" s="296" t="s">
        <v>699</v>
      </c>
      <c r="F66" s="412" t="s">
        <v>700</v>
      </c>
      <c r="G66" s="413"/>
      <c r="H66" s="413"/>
      <c r="I66" s="413"/>
      <c r="J66" s="413"/>
      <c r="K66" s="413"/>
      <c r="L66" s="413"/>
      <c r="M66" s="414"/>
      <c r="N66" s="299"/>
      <c r="O66" s="293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295"/>
      <c r="D67" s="295"/>
      <c r="E67" s="296"/>
      <c r="F67" s="412"/>
      <c r="G67" s="413"/>
      <c r="H67" s="413"/>
      <c r="I67" s="413"/>
      <c r="J67" s="413"/>
      <c r="K67" s="413"/>
      <c r="L67" s="413"/>
      <c r="M67" s="414"/>
      <c r="N67" s="299"/>
      <c r="O67" s="293"/>
      <c r="P67" s="415"/>
      <c r="Q67" s="416"/>
      <c r="R67" s="415"/>
      <c r="S67" s="417"/>
      <c r="T67" s="417"/>
      <c r="U67" s="416"/>
      <c r="V67" s="412"/>
      <c r="W67" s="413"/>
      <c r="X67" s="413"/>
      <c r="Y67" s="413"/>
      <c r="Z67" s="413"/>
      <c r="AA67" s="413"/>
      <c r="AB67" s="413"/>
      <c r="AC67" s="413"/>
      <c r="AD67" s="414"/>
    </row>
    <row r="68" spans="1:32" ht="27" customHeight="1">
      <c r="A68" s="426"/>
      <c r="B68" s="427"/>
      <c r="C68" s="295"/>
      <c r="D68" s="295"/>
      <c r="E68" s="296"/>
      <c r="F68" s="412"/>
      <c r="G68" s="413"/>
      <c r="H68" s="413"/>
      <c r="I68" s="413"/>
      <c r="J68" s="413"/>
      <c r="K68" s="413"/>
      <c r="L68" s="413"/>
      <c r="M68" s="414"/>
      <c r="N68" s="299"/>
      <c r="O68" s="293"/>
      <c r="P68" s="411"/>
      <c r="Q68" s="411"/>
      <c r="R68" s="411"/>
      <c r="S68" s="411"/>
      <c r="T68" s="411"/>
      <c r="U68" s="411"/>
      <c r="V68" s="412"/>
      <c r="W68" s="413"/>
      <c r="X68" s="413"/>
      <c r="Y68" s="413"/>
      <c r="Z68" s="413"/>
      <c r="AA68" s="413"/>
      <c r="AB68" s="413"/>
      <c r="AC68" s="413"/>
      <c r="AD68" s="414"/>
      <c r="AF68" s="81">
        <f>8*3000</f>
        <v>24000</v>
      </c>
    </row>
    <row r="69" spans="1:32" ht="27" customHeight="1" thickBot="1">
      <c r="A69" s="418"/>
      <c r="B69" s="419"/>
      <c r="C69" s="297"/>
      <c r="D69" s="298"/>
      <c r="E69" s="297"/>
      <c r="F69" s="420"/>
      <c r="G69" s="421"/>
      <c r="H69" s="421"/>
      <c r="I69" s="421"/>
      <c r="J69" s="421"/>
      <c r="K69" s="421"/>
      <c r="L69" s="421"/>
      <c r="M69" s="422"/>
      <c r="N69" s="106"/>
      <c r="O69" s="98"/>
      <c r="P69" s="423"/>
      <c r="Q69" s="423"/>
      <c r="R69" s="423"/>
      <c r="S69" s="423"/>
      <c r="T69" s="423"/>
      <c r="U69" s="423"/>
      <c r="V69" s="424"/>
      <c r="W69" s="424"/>
      <c r="X69" s="424"/>
      <c r="Y69" s="424"/>
      <c r="Z69" s="424"/>
      <c r="AA69" s="424"/>
      <c r="AB69" s="424"/>
      <c r="AC69" s="424"/>
      <c r="AD69" s="425"/>
      <c r="AF69" s="81">
        <f>16*3000</f>
        <v>48000</v>
      </c>
    </row>
    <row r="70" spans="1:32" ht="27.75" thickBot="1">
      <c r="A70" s="428" t="s">
        <v>703</v>
      </c>
      <c r="B70" s="428"/>
      <c r="C70" s="428"/>
      <c r="D70" s="428"/>
      <c r="E70" s="428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F70" s="81">
        <v>24000</v>
      </c>
    </row>
    <row r="71" spans="1:32" ht="29.25" customHeight="1" thickBot="1">
      <c r="A71" s="429" t="s">
        <v>111</v>
      </c>
      <c r="B71" s="430"/>
      <c r="C71" s="294" t="s">
        <v>2</v>
      </c>
      <c r="D71" s="294" t="s">
        <v>37</v>
      </c>
      <c r="E71" s="294" t="s">
        <v>3</v>
      </c>
      <c r="F71" s="430" t="s">
        <v>109</v>
      </c>
      <c r="G71" s="430"/>
      <c r="H71" s="430"/>
      <c r="I71" s="430"/>
      <c r="J71" s="430"/>
      <c r="K71" s="430" t="s">
        <v>39</v>
      </c>
      <c r="L71" s="430"/>
      <c r="M71" s="294" t="s">
        <v>40</v>
      </c>
      <c r="N71" s="430" t="s">
        <v>41</v>
      </c>
      <c r="O71" s="430"/>
      <c r="P71" s="431" t="s">
        <v>42</v>
      </c>
      <c r="Q71" s="432"/>
      <c r="R71" s="431" t="s">
        <v>43</v>
      </c>
      <c r="S71" s="433"/>
      <c r="T71" s="433"/>
      <c r="U71" s="433"/>
      <c r="V71" s="433"/>
      <c r="W71" s="433"/>
      <c r="X71" s="433"/>
      <c r="Y71" s="433"/>
      <c r="Z71" s="433"/>
      <c r="AA71" s="432"/>
      <c r="AB71" s="430" t="s">
        <v>44</v>
      </c>
      <c r="AC71" s="430"/>
      <c r="AD71" s="434"/>
      <c r="AF71" s="81">
        <f>SUM(AF68:AF70)</f>
        <v>96000</v>
      </c>
    </row>
    <row r="72" spans="1:32" ht="25.5" customHeight="1">
      <c r="A72" s="435">
        <v>1</v>
      </c>
      <c r="B72" s="436"/>
      <c r="C72" s="99" t="s">
        <v>704</v>
      </c>
      <c r="D72" s="289"/>
      <c r="E72" s="292" t="s">
        <v>705</v>
      </c>
      <c r="F72" s="437" t="s">
        <v>706</v>
      </c>
      <c r="G72" s="438"/>
      <c r="H72" s="438"/>
      <c r="I72" s="438"/>
      <c r="J72" s="438"/>
      <c r="K72" s="438" t="s">
        <v>707</v>
      </c>
      <c r="L72" s="438"/>
      <c r="M72" s="51" t="s">
        <v>708</v>
      </c>
      <c r="N72" s="439" t="s">
        <v>709</v>
      </c>
      <c r="O72" s="439"/>
      <c r="P72" s="440">
        <v>50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2</v>
      </c>
      <c r="B73" s="436"/>
      <c r="C73" s="99" t="s">
        <v>710</v>
      </c>
      <c r="D73" s="289"/>
      <c r="E73" s="292"/>
      <c r="F73" s="437" t="s">
        <v>711</v>
      </c>
      <c r="G73" s="438"/>
      <c r="H73" s="438"/>
      <c r="I73" s="438"/>
      <c r="J73" s="438"/>
      <c r="K73" s="438" t="s">
        <v>712</v>
      </c>
      <c r="L73" s="438"/>
      <c r="M73" s="51" t="s">
        <v>713</v>
      </c>
      <c r="N73" s="439" t="s">
        <v>714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3</v>
      </c>
      <c r="B74" s="436"/>
      <c r="C74" s="99" t="s">
        <v>715</v>
      </c>
      <c r="D74" s="289"/>
      <c r="E74" s="292" t="s">
        <v>696</v>
      </c>
      <c r="F74" s="437" t="s">
        <v>694</v>
      </c>
      <c r="G74" s="438"/>
      <c r="H74" s="438"/>
      <c r="I74" s="438"/>
      <c r="J74" s="438"/>
      <c r="K74" s="438" t="s">
        <v>716</v>
      </c>
      <c r="L74" s="438"/>
      <c r="M74" s="51" t="s">
        <v>713</v>
      </c>
      <c r="N74" s="439" t="s">
        <v>695</v>
      </c>
      <c r="O74" s="439"/>
      <c r="P74" s="440">
        <v>50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4</v>
      </c>
      <c r="B75" s="436"/>
      <c r="C75" s="99"/>
      <c r="D75" s="289"/>
      <c r="E75" s="292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5</v>
      </c>
      <c r="B76" s="436"/>
      <c r="C76" s="99"/>
      <c r="D76" s="289"/>
      <c r="E76" s="292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6</v>
      </c>
      <c r="B77" s="436"/>
      <c r="C77" s="99"/>
      <c r="D77" s="289"/>
      <c r="E77" s="292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7</v>
      </c>
      <c r="B78" s="436"/>
      <c r="C78" s="99"/>
      <c r="D78" s="289"/>
      <c r="E78" s="292"/>
      <c r="F78" s="443"/>
      <c r="G78" s="444"/>
      <c r="H78" s="444"/>
      <c r="I78" s="444"/>
      <c r="J78" s="445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8</v>
      </c>
      <c r="B79" s="436"/>
      <c r="C79" s="99"/>
      <c r="D79" s="289"/>
      <c r="E79" s="292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9</v>
      </c>
      <c r="B80" s="436"/>
      <c r="C80" s="99"/>
      <c r="D80" s="289"/>
      <c r="E80" s="292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5.5" customHeight="1">
      <c r="A81" s="435">
        <v>10</v>
      </c>
      <c r="B81" s="436"/>
      <c r="C81" s="99"/>
      <c r="D81" s="289"/>
      <c r="E81" s="292"/>
      <c r="F81" s="437"/>
      <c r="G81" s="438"/>
      <c r="H81" s="438"/>
      <c r="I81" s="438"/>
      <c r="J81" s="438"/>
      <c r="K81" s="438"/>
      <c r="L81" s="438"/>
      <c r="M81" s="51"/>
      <c r="N81" s="439"/>
      <c r="O81" s="439"/>
      <c r="P81" s="440"/>
      <c r="Q81" s="440"/>
      <c r="R81" s="441"/>
      <c r="S81" s="441"/>
      <c r="T81" s="441"/>
      <c r="U81" s="441"/>
      <c r="V81" s="441"/>
      <c r="W81" s="441"/>
      <c r="X81" s="441"/>
      <c r="Y81" s="441"/>
      <c r="Z81" s="441"/>
      <c r="AA81" s="441"/>
      <c r="AB81" s="438"/>
      <c r="AC81" s="438"/>
      <c r="AD81" s="442"/>
      <c r="AF81" s="50"/>
    </row>
    <row r="82" spans="1:32" ht="26.25" customHeight="1" thickBot="1">
      <c r="A82" s="446" t="s">
        <v>717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23.25" thickBot="1">
      <c r="A83" s="447" t="s">
        <v>111</v>
      </c>
      <c r="B83" s="448"/>
      <c r="C83" s="291" t="s">
        <v>2</v>
      </c>
      <c r="D83" s="291" t="s">
        <v>37</v>
      </c>
      <c r="E83" s="291" t="s">
        <v>120</v>
      </c>
      <c r="F83" s="449" t="s">
        <v>38</v>
      </c>
      <c r="G83" s="449"/>
      <c r="H83" s="449"/>
      <c r="I83" s="449"/>
      <c r="J83" s="449"/>
      <c r="K83" s="450" t="s">
        <v>58</v>
      </c>
      <c r="L83" s="451"/>
      <c r="M83" s="451"/>
      <c r="N83" s="451"/>
      <c r="O83" s="451"/>
      <c r="P83" s="451"/>
      <c r="Q83" s="451"/>
      <c r="R83" s="451"/>
      <c r="S83" s="452"/>
      <c r="T83" s="449" t="s">
        <v>49</v>
      </c>
      <c r="U83" s="449"/>
      <c r="V83" s="450" t="s">
        <v>50</v>
      </c>
      <c r="W83" s="452"/>
      <c r="X83" s="451" t="s">
        <v>51</v>
      </c>
      <c r="Y83" s="451"/>
      <c r="Z83" s="451"/>
      <c r="AA83" s="451"/>
      <c r="AB83" s="451"/>
      <c r="AC83" s="451"/>
      <c r="AD83" s="453"/>
      <c r="AF83" s="50"/>
    </row>
    <row r="84" spans="1:32" ht="33.75" customHeight="1">
      <c r="A84" s="462">
        <v>1</v>
      </c>
      <c r="B84" s="463"/>
      <c r="C84" s="290"/>
      <c r="D84" s="290"/>
      <c r="E84" s="65"/>
      <c r="F84" s="464"/>
      <c r="G84" s="465"/>
      <c r="H84" s="465"/>
      <c r="I84" s="465"/>
      <c r="J84" s="466"/>
      <c r="K84" s="467"/>
      <c r="L84" s="468"/>
      <c r="M84" s="468"/>
      <c r="N84" s="468"/>
      <c r="O84" s="468"/>
      <c r="P84" s="468"/>
      <c r="Q84" s="468"/>
      <c r="R84" s="468"/>
      <c r="S84" s="469"/>
      <c r="T84" s="470"/>
      <c r="U84" s="471"/>
      <c r="V84" s="472"/>
      <c r="W84" s="472"/>
      <c r="X84" s="473"/>
      <c r="Y84" s="473"/>
      <c r="Z84" s="473"/>
      <c r="AA84" s="473"/>
      <c r="AB84" s="473"/>
      <c r="AC84" s="473"/>
      <c r="AD84" s="474"/>
      <c r="AF84" s="50"/>
    </row>
    <row r="85" spans="1:32" ht="30" customHeight="1">
      <c r="A85" s="454">
        <f>A84+1</f>
        <v>2</v>
      </c>
      <c r="B85" s="455"/>
      <c r="C85" s="289"/>
      <c r="D85" s="289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ref="A86:A90" si="20">A85+1</f>
        <v>3</v>
      </c>
      <c r="B86" s="455"/>
      <c r="C86" s="289"/>
      <c r="D86" s="289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4</v>
      </c>
      <c r="B87" s="455"/>
      <c r="C87" s="289"/>
      <c r="D87" s="289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5</v>
      </c>
      <c r="B88" s="455"/>
      <c r="C88" s="289"/>
      <c r="D88" s="289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6</v>
      </c>
      <c r="B89" s="455"/>
      <c r="C89" s="289"/>
      <c r="D89" s="289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0" customHeight="1">
      <c r="A90" s="454">
        <f t="shared" si="20"/>
        <v>7</v>
      </c>
      <c r="B90" s="455"/>
      <c r="C90" s="289"/>
      <c r="D90" s="289"/>
      <c r="E90" s="32"/>
      <c r="F90" s="455"/>
      <c r="G90" s="455"/>
      <c r="H90" s="455"/>
      <c r="I90" s="455"/>
      <c r="J90" s="455"/>
      <c r="K90" s="456"/>
      <c r="L90" s="457"/>
      <c r="M90" s="457"/>
      <c r="N90" s="457"/>
      <c r="O90" s="457"/>
      <c r="P90" s="457"/>
      <c r="Q90" s="457"/>
      <c r="R90" s="457"/>
      <c r="S90" s="458"/>
      <c r="T90" s="459"/>
      <c r="U90" s="459"/>
      <c r="V90" s="459"/>
      <c r="W90" s="459"/>
      <c r="X90" s="460"/>
      <c r="Y90" s="460"/>
      <c r="Z90" s="460"/>
      <c r="AA90" s="460"/>
      <c r="AB90" s="460"/>
      <c r="AC90" s="460"/>
      <c r="AD90" s="461"/>
      <c r="AF90" s="50"/>
    </row>
    <row r="91" spans="1:32" ht="36" thickBot="1">
      <c r="A91" s="446" t="s">
        <v>718</v>
      </c>
      <c r="B91" s="446"/>
      <c r="C91" s="446"/>
      <c r="D91" s="446"/>
      <c r="E91" s="446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F91" s="50"/>
    </row>
    <row r="92" spans="1:32" ht="30.75" customHeight="1" thickBot="1">
      <c r="A92" s="475" t="s">
        <v>111</v>
      </c>
      <c r="B92" s="449"/>
      <c r="C92" s="476" t="s">
        <v>52</v>
      </c>
      <c r="D92" s="476"/>
      <c r="E92" s="476" t="s">
        <v>53</v>
      </c>
      <c r="F92" s="476"/>
      <c r="G92" s="476"/>
      <c r="H92" s="476"/>
      <c r="I92" s="476"/>
      <c r="J92" s="476"/>
      <c r="K92" s="476" t="s">
        <v>54</v>
      </c>
      <c r="L92" s="476"/>
      <c r="M92" s="476"/>
      <c r="N92" s="476"/>
      <c r="O92" s="476"/>
      <c r="P92" s="476"/>
      <c r="Q92" s="476"/>
      <c r="R92" s="476"/>
      <c r="S92" s="476"/>
      <c r="T92" s="476" t="s">
        <v>55</v>
      </c>
      <c r="U92" s="476"/>
      <c r="V92" s="476" t="s">
        <v>56</v>
      </c>
      <c r="W92" s="476"/>
      <c r="X92" s="476"/>
      <c r="Y92" s="476" t="s">
        <v>51</v>
      </c>
      <c r="Z92" s="476"/>
      <c r="AA92" s="476"/>
      <c r="AB92" s="476"/>
      <c r="AC92" s="476"/>
      <c r="AD92" s="477"/>
      <c r="AF92" s="50"/>
    </row>
    <row r="93" spans="1:32" ht="30.75" customHeight="1">
      <c r="A93" s="462">
        <v>1</v>
      </c>
      <c r="B93" s="463"/>
      <c r="C93" s="478"/>
      <c r="D93" s="478"/>
      <c r="E93" s="478"/>
      <c r="F93" s="478"/>
      <c r="G93" s="478"/>
      <c r="H93" s="478"/>
      <c r="I93" s="478"/>
      <c r="J93" s="478"/>
      <c r="K93" s="478"/>
      <c r="L93" s="478"/>
      <c r="M93" s="478"/>
      <c r="N93" s="478"/>
      <c r="O93" s="478"/>
      <c r="P93" s="478"/>
      <c r="Q93" s="478"/>
      <c r="R93" s="478"/>
      <c r="S93" s="478"/>
      <c r="T93" s="478"/>
      <c r="U93" s="478"/>
      <c r="V93" s="479"/>
      <c r="W93" s="479"/>
      <c r="X93" s="479"/>
      <c r="Y93" s="480"/>
      <c r="Z93" s="480"/>
      <c r="AA93" s="480"/>
      <c r="AB93" s="480"/>
      <c r="AC93" s="480"/>
      <c r="AD93" s="481"/>
      <c r="AF93" s="50"/>
    </row>
    <row r="94" spans="1:32" ht="30.75" customHeight="1">
      <c r="A94" s="454">
        <v>2</v>
      </c>
      <c r="B94" s="455"/>
      <c r="C94" s="490"/>
      <c r="D94" s="490"/>
      <c r="E94" s="490"/>
      <c r="F94" s="490"/>
      <c r="G94" s="490"/>
      <c r="H94" s="490"/>
      <c r="I94" s="490"/>
      <c r="J94" s="490"/>
      <c r="K94" s="490"/>
      <c r="L94" s="490"/>
      <c r="M94" s="490"/>
      <c r="N94" s="490"/>
      <c r="O94" s="490"/>
      <c r="P94" s="490"/>
      <c r="Q94" s="490"/>
      <c r="R94" s="490"/>
      <c r="S94" s="490"/>
      <c r="T94" s="491"/>
      <c r="U94" s="491"/>
      <c r="V94" s="492"/>
      <c r="W94" s="492"/>
      <c r="X94" s="492"/>
      <c r="Y94" s="482"/>
      <c r="Z94" s="482"/>
      <c r="AA94" s="482"/>
      <c r="AB94" s="482"/>
      <c r="AC94" s="482"/>
      <c r="AD94" s="483"/>
      <c r="AF94" s="50"/>
    </row>
    <row r="95" spans="1:32" ht="30.75" customHeight="1" thickBot="1">
      <c r="A95" s="484">
        <v>3</v>
      </c>
      <c r="B95" s="485"/>
      <c r="C95" s="486"/>
      <c r="D95" s="486"/>
      <c r="E95" s="486"/>
      <c r="F95" s="486"/>
      <c r="G95" s="486"/>
      <c r="H95" s="486"/>
      <c r="I95" s="486"/>
      <c r="J95" s="486"/>
      <c r="K95" s="486"/>
      <c r="L95" s="486"/>
      <c r="M95" s="486"/>
      <c r="N95" s="486"/>
      <c r="O95" s="486"/>
      <c r="P95" s="486"/>
      <c r="Q95" s="486"/>
      <c r="R95" s="486"/>
      <c r="S95" s="486"/>
      <c r="T95" s="486"/>
      <c r="U95" s="486"/>
      <c r="V95" s="487"/>
      <c r="W95" s="487"/>
      <c r="X95" s="487"/>
      <c r="Y95" s="488"/>
      <c r="Z95" s="488"/>
      <c r="AA95" s="488"/>
      <c r="AB95" s="488"/>
      <c r="AC95" s="488"/>
      <c r="AD95" s="489"/>
      <c r="AF95" s="50"/>
    </row>
  </sheetData>
  <mergeCells count="232">
    <mergeCell ref="Y94:AD94"/>
    <mergeCell ref="A95:B95"/>
    <mergeCell ref="C95:D95"/>
    <mergeCell ref="E95:J95"/>
    <mergeCell ref="K95:S95"/>
    <mergeCell ref="T95:U95"/>
    <mergeCell ref="V95:X95"/>
    <mergeCell ref="Y95:AD95"/>
    <mergeCell ref="A94:B94"/>
    <mergeCell ref="C94:D94"/>
    <mergeCell ref="E94:J94"/>
    <mergeCell ref="K94:S94"/>
    <mergeCell ref="T94:U94"/>
    <mergeCell ref="V94:X94"/>
    <mergeCell ref="V92:X92"/>
    <mergeCell ref="Y92:AD92"/>
    <mergeCell ref="A93:B93"/>
    <mergeCell ref="C93:D93"/>
    <mergeCell ref="E93:J93"/>
    <mergeCell ref="K93:S93"/>
    <mergeCell ref="T93:U93"/>
    <mergeCell ref="V93:X93"/>
    <mergeCell ref="Y93:AD93"/>
    <mergeCell ref="A91:E91"/>
    <mergeCell ref="A92:B92"/>
    <mergeCell ref="C92:D92"/>
    <mergeCell ref="E92:J92"/>
    <mergeCell ref="K92:S92"/>
    <mergeCell ref="T92:U92"/>
    <mergeCell ref="A90:B90"/>
    <mergeCell ref="F90:J90"/>
    <mergeCell ref="K90:S90"/>
    <mergeCell ref="T90:U90"/>
    <mergeCell ref="V90:W90"/>
    <mergeCell ref="X90:AD90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B81:AD81"/>
    <mergeCell ref="A82:E82"/>
    <mergeCell ref="A83:B83"/>
    <mergeCell ref="F83:J83"/>
    <mergeCell ref="K83:S83"/>
    <mergeCell ref="T83:U83"/>
    <mergeCell ref="V83:W83"/>
    <mergeCell ref="X83:AD83"/>
    <mergeCell ref="A81:B81"/>
    <mergeCell ref="F81:J81"/>
    <mergeCell ref="K81:L81"/>
    <mergeCell ref="N81:O81"/>
    <mergeCell ref="P81:Q81"/>
    <mergeCell ref="R81:AA81"/>
    <mergeCell ref="AB79:AD79"/>
    <mergeCell ref="A80:B80"/>
    <mergeCell ref="F80:J80"/>
    <mergeCell ref="K80:L80"/>
    <mergeCell ref="N80:O80"/>
    <mergeCell ref="P80:Q80"/>
    <mergeCell ref="R80:AA80"/>
    <mergeCell ref="AB80:AD80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R71:AA71"/>
    <mergeCell ref="AB71:AD71"/>
    <mergeCell ref="A72:B72"/>
    <mergeCell ref="F72:J72"/>
    <mergeCell ref="K72:L72"/>
    <mergeCell ref="N72:O72"/>
    <mergeCell ref="P72:Q72"/>
    <mergeCell ref="R72:AA72"/>
    <mergeCell ref="AB72:AD72"/>
    <mergeCell ref="A70:E70"/>
    <mergeCell ref="A71:B71"/>
    <mergeCell ref="F71:J71"/>
    <mergeCell ref="K71:L71"/>
    <mergeCell ref="N71:O71"/>
    <mergeCell ref="P71:Q71"/>
    <mergeCell ref="A68:B68"/>
    <mergeCell ref="F68:M68"/>
    <mergeCell ref="P68:Q68"/>
    <mergeCell ref="R68:U68"/>
    <mergeCell ref="V68:AD68"/>
    <mergeCell ref="A69:B69"/>
    <mergeCell ref="F69:M69"/>
    <mergeCell ref="P69:Q69"/>
    <mergeCell ref="R69:U69"/>
    <mergeCell ref="V69:AD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D4:AD5"/>
    <mergeCell ref="A30:H30"/>
    <mergeCell ref="A57:E57"/>
    <mergeCell ref="A58:M58"/>
    <mergeCell ref="N58:AD58"/>
    <mergeCell ref="A59:B59"/>
    <mergeCell ref="F59:M59"/>
    <mergeCell ref="P59:Q59"/>
    <mergeCell ref="R59:U59"/>
    <mergeCell ref="V59:AD59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5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1DDA-3A4B-4955-9626-7DABD42A1370}">
  <sheetPr>
    <pageSetUpPr fitToPage="1"/>
  </sheetPr>
  <dimension ref="A1:AF94"/>
  <sheetViews>
    <sheetView view="pageBreakPreview" zoomScale="70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719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02" t="s">
        <v>17</v>
      </c>
      <c r="L5" s="302" t="s">
        <v>18</v>
      </c>
      <c r="M5" s="302" t="s">
        <v>19</v>
      </c>
      <c r="N5" s="30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115</v>
      </c>
      <c r="E6" s="53" t="s">
        <v>607</v>
      </c>
      <c r="F6" s="30" t="s">
        <v>125</v>
      </c>
      <c r="G6" s="12">
        <v>4</v>
      </c>
      <c r="H6" s="13">
        <v>24</v>
      </c>
      <c r="I6" s="31">
        <v>2000</v>
      </c>
      <c r="J6" s="14">
        <v>5300</v>
      </c>
      <c r="K6" s="15">
        <f>L6+5300</f>
        <v>5300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8" si="4">IF(J6=0,"0",(L6/J6))</f>
        <v>0</v>
      </c>
      <c r="AC6" s="9">
        <f t="shared" ref="AC6:AC28" si="5">IF(P6=0,"0",(P6/24))</f>
        <v>0</v>
      </c>
      <c r="AD6" s="10">
        <f>AC6*AB6*(1-O6)</f>
        <v>0</v>
      </c>
      <c r="AE6" s="36">
        <f t="shared" ref="AE6:AE28" si="6">$AD$29</f>
        <v>0.42210144927536236</v>
      </c>
      <c r="AF6" s="81">
        <f t="shared" ref="AF6:AF28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1</v>
      </c>
      <c r="H7" s="13">
        <v>24</v>
      </c>
      <c r="I7" s="31">
        <v>190000</v>
      </c>
      <c r="J7" s="14">
        <v>11558</v>
      </c>
      <c r="K7" s="15">
        <f>L7+8898+11520</f>
        <v>31976</v>
      </c>
      <c r="L7" s="15">
        <f>2883*2+2896*2</f>
        <v>11558</v>
      </c>
      <c r="M7" s="15">
        <f t="shared" si="0"/>
        <v>11558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8" si="8">AC7*AB7*(1-O7)</f>
        <v>1</v>
      </c>
      <c r="AE7" s="36">
        <f t="shared" si="6"/>
        <v>0.42210144927536236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289</v>
      </c>
      <c r="F8" s="30" t="s">
        <v>123</v>
      </c>
      <c r="G8" s="12">
        <v>2</v>
      </c>
      <c r="H8" s="13">
        <v>22</v>
      </c>
      <c r="I8" s="31">
        <v>50000</v>
      </c>
      <c r="J8" s="5">
        <v>10616</v>
      </c>
      <c r="K8" s="15">
        <f>L8</f>
        <v>10616</v>
      </c>
      <c r="L8" s="15">
        <f>2626*2+2682*2</f>
        <v>10616</v>
      </c>
      <c r="M8" s="15">
        <f t="shared" si="0"/>
        <v>10616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8"/>
        <v>0.95833333333333337</v>
      </c>
      <c r="AE8" s="36">
        <f t="shared" si="6"/>
        <v>0.42210144927536236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563</v>
      </c>
      <c r="D9" s="52"/>
      <c r="E9" s="53" t="s">
        <v>646</v>
      </c>
      <c r="F9" s="30" t="s">
        <v>161</v>
      </c>
      <c r="G9" s="12">
        <v>2</v>
      </c>
      <c r="H9" s="13">
        <v>24</v>
      </c>
      <c r="I9" s="7">
        <v>24500</v>
      </c>
      <c r="J9" s="14">
        <v>11630</v>
      </c>
      <c r="K9" s="15">
        <f>L9+7548+11534</f>
        <v>30712</v>
      </c>
      <c r="L9" s="15">
        <f>2900*2+2915*2</f>
        <v>11630</v>
      </c>
      <c r="M9" s="15">
        <f t="shared" si="0"/>
        <v>11630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0.42210144927536236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563</v>
      </c>
      <c r="D10" s="52"/>
      <c r="E10" s="53" t="s">
        <v>608</v>
      </c>
      <c r="F10" s="30" t="s">
        <v>282</v>
      </c>
      <c r="G10" s="33">
        <v>2</v>
      </c>
      <c r="H10" s="35">
        <v>24</v>
      </c>
      <c r="I10" s="7">
        <v>24500</v>
      </c>
      <c r="J10" s="14">
        <v>10676</v>
      </c>
      <c r="K10" s="15">
        <f>L10+8462+9820+9820</f>
        <v>38778</v>
      </c>
      <c r="L10" s="15">
        <f>2797*2+2541*2</f>
        <v>10676</v>
      </c>
      <c r="M10" s="15">
        <f t="shared" si="0"/>
        <v>10676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0.42210144927536236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170</v>
      </c>
      <c r="E11" s="53" t="s">
        <v>720</v>
      </c>
      <c r="F11" s="30" t="s">
        <v>141</v>
      </c>
      <c r="G11" s="33">
        <v>1</v>
      </c>
      <c r="H11" s="35">
        <v>24</v>
      </c>
      <c r="I11" s="7">
        <v>800</v>
      </c>
      <c r="J11" s="14">
        <v>800</v>
      </c>
      <c r="K11" s="15">
        <f>L11</f>
        <v>800</v>
      </c>
      <c r="L11" s="15">
        <v>800</v>
      </c>
      <c r="M11" s="15">
        <f t="shared" si="0"/>
        <v>800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8"/>
        <v>0.16666666666666666</v>
      </c>
      <c r="AE11" s="36">
        <f t="shared" si="6"/>
        <v>0.42210144927536236</v>
      </c>
      <c r="AF11" s="81">
        <f t="shared" si="7"/>
        <v>6</v>
      </c>
    </row>
    <row r="12" spans="1:32" ht="27" customHeight="1">
      <c r="A12" s="93">
        <v>6</v>
      </c>
      <c r="B12" s="11" t="s">
        <v>57</v>
      </c>
      <c r="C12" s="11" t="s">
        <v>116</v>
      </c>
      <c r="D12" s="52" t="s">
        <v>121</v>
      </c>
      <c r="E12" s="53" t="s">
        <v>721</v>
      </c>
      <c r="F12" s="30" t="s">
        <v>130</v>
      </c>
      <c r="G12" s="33">
        <v>1</v>
      </c>
      <c r="H12" s="35">
        <v>24</v>
      </c>
      <c r="I12" s="7">
        <v>800</v>
      </c>
      <c r="J12" s="14">
        <v>800</v>
      </c>
      <c r="K12" s="15">
        <f>L12</f>
        <v>800</v>
      </c>
      <c r="L12" s="15">
        <v>800</v>
      </c>
      <c r="M12" s="15">
        <f t="shared" si="0"/>
        <v>800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8"/>
        <v>0.16666666666666666</v>
      </c>
      <c r="AE12" s="36">
        <f t="shared" si="6"/>
        <v>0.42210144927536236</v>
      </c>
      <c r="AF12" s="81">
        <f t="shared" si="7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f>70000+110000</f>
        <v>180000</v>
      </c>
      <c r="J13" s="5">
        <v>5339</v>
      </c>
      <c r="K13" s="15">
        <f>L13+5056+5299+5142+4725+5285+5308+3502+5153+5075+5268+5338+5267+5184+5110+5267+5309+13944+5077+5113+5283+5335+5351+3987+5016+5288</f>
        <v>141021</v>
      </c>
      <c r="L13" s="15">
        <f>2690+2649</f>
        <v>5339</v>
      </c>
      <c r="M13" s="15">
        <f t="shared" si="0"/>
        <v>5339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0.42210144927536236</v>
      </c>
      <c r="AF13" s="81">
        <f t="shared" si="7"/>
        <v>7</v>
      </c>
    </row>
    <row r="14" spans="1:32" ht="27" customHeight="1">
      <c r="A14" s="93">
        <v>8</v>
      </c>
      <c r="B14" s="11" t="s">
        <v>57</v>
      </c>
      <c r="C14" s="11" t="s">
        <v>112</v>
      </c>
      <c r="D14" s="52" t="s">
        <v>154</v>
      </c>
      <c r="E14" s="53" t="s">
        <v>486</v>
      </c>
      <c r="F14" s="30" t="s">
        <v>123</v>
      </c>
      <c r="G14" s="33">
        <v>1</v>
      </c>
      <c r="H14" s="35">
        <v>22</v>
      </c>
      <c r="I14" s="7">
        <v>32000</v>
      </c>
      <c r="J14" s="14">
        <v>5812</v>
      </c>
      <c r="K14" s="15">
        <f>L14+6014+6382+6362+5997+6082+6286</f>
        <v>42935</v>
      </c>
      <c r="L14" s="15">
        <f>3196+2616</f>
        <v>5812</v>
      </c>
      <c r="M14" s="15">
        <f t="shared" si="0"/>
        <v>5812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8"/>
        <v>1</v>
      </c>
      <c r="AE14" s="36">
        <f t="shared" si="6"/>
        <v>0.42210144927536236</v>
      </c>
      <c r="AF14" s="81">
        <f t="shared" si="7"/>
        <v>8</v>
      </c>
    </row>
    <row r="15" spans="1:32" ht="27" customHeight="1">
      <c r="A15" s="100">
        <v>9</v>
      </c>
      <c r="B15" s="11" t="s">
        <v>57</v>
      </c>
      <c r="C15" s="34" t="s">
        <v>112</v>
      </c>
      <c r="D15" s="52" t="s">
        <v>115</v>
      </c>
      <c r="E15" s="53" t="s">
        <v>639</v>
      </c>
      <c r="F15" s="30" t="s">
        <v>647</v>
      </c>
      <c r="G15" s="33">
        <v>1</v>
      </c>
      <c r="H15" s="35">
        <v>50</v>
      </c>
      <c r="I15" s="7">
        <v>300</v>
      </c>
      <c r="J15" s="5">
        <v>6132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0.42210144927536236</v>
      </c>
      <c r="AF15" s="81">
        <f t="shared" si="7"/>
        <v>9</v>
      </c>
    </row>
    <row r="16" spans="1:32" ht="27" customHeight="1">
      <c r="A16" s="107">
        <v>10</v>
      </c>
      <c r="B16" s="11" t="s">
        <v>57</v>
      </c>
      <c r="C16" s="34" t="s">
        <v>112</v>
      </c>
      <c r="D16" s="52" t="s">
        <v>146</v>
      </c>
      <c r="E16" s="53" t="s">
        <v>610</v>
      </c>
      <c r="F16" s="30" t="s">
        <v>148</v>
      </c>
      <c r="G16" s="12">
        <v>1</v>
      </c>
      <c r="H16" s="13">
        <v>24</v>
      </c>
      <c r="I16" s="31">
        <v>3300</v>
      </c>
      <c r="J16" s="14">
        <v>4832</v>
      </c>
      <c r="K16" s="15">
        <f>L16+4832</f>
        <v>4832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0.42210144927536236</v>
      </c>
      <c r="AF16" s="81">
        <f t="shared" si="7"/>
        <v>10</v>
      </c>
    </row>
    <row r="17" spans="1:32" ht="27" customHeight="1">
      <c r="A17" s="107">
        <v>11</v>
      </c>
      <c r="B17" s="11" t="s">
        <v>57</v>
      </c>
      <c r="C17" s="34" t="s">
        <v>563</v>
      </c>
      <c r="D17" s="52"/>
      <c r="E17" s="53" t="s">
        <v>659</v>
      </c>
      <c r="F17" s="30" t="s">
        <v>161</v>
      </c>
      <c r="G17" s="12">
        <v>2</v>
      </c>
      <c r="H17" s="13">
        <v>24</v>
      </c>
      <c r="I17" s="7">
        <v>24500</v>
      </c>
      <c r="J17" s="14">
        <v>9070</v>
      </c>
      <c r="K17" s="15">
        <f>L17+10730</f>
        <v>19800</v>
      </c>
      <c r="L17" s="15">
        <f>1483*2+3052*2</f>
        <v>9070</v>
      </c>
      <c r="M17" s="15">
        <f t="shared" si="0"/>
        <v>9070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>
        <v>6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0.75</v>
      </c>
      <c r="AD17" s="10">
        <f t="shared" si="8"/>
        <v>0.75</v>
      </c>
      <c r="AE17" s="36">
        <f t="shared" si="6"/>
        <v>0.42210144927536236</v>
      </c>
      <c r="AF17" s="81">
        <f t="shared" si="7"/>
        <v>11</v>
      </c>
    </row>
    <row r="18" spans="1:32" ht="27" customHeight="1">
      <c r="A18" s="107">
        <v>12</v>
      </c>
      <c r="B18" s="11" t="s">
        <v>57</v>
      </c>
      <c r="C18" s="34" t="s">
        <v>129</v>
      </c>
      <c r="D18" s="52" t="s">
        <v>131</v>
      </c>
      <c r="E18" s="53" t="s">
        <v>556</v>
      </c>
      <c r="F18" s="30" t="s">
        <v>572</v>
      </c>
      <c r="G18" s="12">
        <v>2</v>
      </c>
      <c r="H18" s="13">
        <v>24</v>
      </c>
      <c r="I18" s="7">
        <v>15000</v>
      </c>
      <c r="J18" s="14">
        <v>7890</v>
      </c>
      <c r="K18" s="15">
        <f>L18+7542</f>
        <v>15432</v>
      </c>
      <c r="L18" s="15">
        <f>900*2+3045*2</f>
        <v>7890</v>
      </c>
      <c r="M18" s="15">
        <f t="shared" si="0"/>
        <v>7890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/>
      <c r="T18" s="16"/>
      <c r="U18" s="16"/>
      <c r="V18" s="17"/>
      <c r="W18" s="5">
        <v>7</v>
      </c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8"/>
        <v>0.70833333333333337</v>
      </c>
      <c r="AE18" s="36">
        <f t="shared" si="6"/>
        <v>0.42210144927536236</v>
      </c>
      <c r="AF18" s="81">
        <f t="shared" si="7"/>
        <v>12</v>
      </c>
    </row>
    <row r="19" spans="1:32" ht="27" customHeight="1">
      <c r="A19" s="107">
        <v>13</v>
      </c>
      <c r="B19" s="11" t="s">
        <v>57</v>
      </c>
      <c r="C19" s="34" t="s">
        <v>112</v>
      </c>
      <c r="D19" s="52" t="s">
        <v>115</v>
      </c>
      <c r="E19" s="53" t="s">
        <v>208</v>
      </c>
      <c r="F19" s="30" t="s">
        <v>209</v>
      </c>
      <c r="G19" s="12">
        <v>1</v>
      </c>
      <c r="H19" s="13">
        <v>24</v>
      </c>
      <c r="I19" s="7">
        <v>100</v>
      </c>
      <c r="J19" s="14">
        <v>143</v>
      </c>
      <c r="K19" s="15">
        <f>L19+143</f>
        <v>143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0.42210144927536236</v>
      </c>
      <c r="AF19" s="81">
        <f t="shared" si="7"/>
        <v>13</v>
      </c>
    </row>
    <row r="20" spans="1:32" ht="27" customHeight="1">
      <c r="A20" s="93">
        <v>14</v>
      </c>
      <c r="B20" s="11" t="s">
        <v>57</v>
      </c>
      <c r="C20" s="11" t="s">
        <v>116</v>
      </c>
      <c r="D20" s="52" t="s">
        <v>115</v>
      </c>
      <c r="E20" s="53" t="s">
        <v>722</v>
      </c>
      <c r="F20" s="30" t="s">
        <v>141</v>
      </c>
      <c r="G20" s="33">
        <v>1</v>
      </c>
      <c r="H20" s="35">
        <v>24</v>
      </c>
      <c r="I20" s="7">
        <v>2000</v>
      </c>
      <c r="J20" s="14">
        <v>4233</v>
      </c>
      <c r="K20" s="15">
        <f>L20</f>
        <v>4233</v>
      </c>
      <c r="L20" s="15">
        <f>1783+2450</f>
        <v>4233</v>
      </c>
      <c r="M20" s="15">
        <f t="shared" si="0"/>
        <v>4233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8"/>
        <v>0.95833333333333337</v>
      </c>
      <c r="AE20" s="36">
        <f t="shared" si="6"/>
        <v>0.42210144927536236</v>
      </c>
      <c r="AF20" s="81">
        <f t="shared" si="7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115</v>
      </c>
      <c r="E21" s="53" t="s">
        <v>171</v>
      </c>
      <c r="F21" s="30" t="s">
        <v>144</v>
      </c>
      <c r="G21" s="33">
        <v>2</v>
      </c>
      <c r="H21" s="35">
        <v>24</v>
      </c>
      <c r="I21" s="7">
        <v>190000</v>
      </c>
      <c r="J21" s="14">
        <v>20332</v>
      </c>
      <c r="K21" s="15">
        <f>L21</f>
        <v>0</v>
      </c>
      <c r="L21" s="15">
        <f>0</f>
        <v>0</v>
      </c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>
        <v>7</v>
      </c>
      <c r="S21" s="6">
        <v>17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8"/>
        <v>0</v>
      </c>
      <c r="AE21" s="36">
        <f t="shared" si="6"/>
        <v>0.42210144927536236</v>
      </c>
      <c r="AF21" s="81">
        <f t="shared" si="7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494</v>
      </c>
      <c r="F22" s="12" t="s">
        <v>114</v>
      </c>
      <c r="G22" s="12">
        <v>4</v>
      </c>
      <c r="H22" s="35">
        <v>20</v>
      </c>
      <c r="I22" s="7">
        <v>2000000</v>
      </c>
      <c r="J22" s="14">
        <v>64184</v>
      </c>
      <c r="K22" s="15">
        <f>L22+34748+57176+64908+60896+57820+63964</f>
        <v>403696</v>
      </c>
      <c r="L22" s="15">
        <f>8023*4+8023*4</f>
        <v>64184</v>
      </c>
      <c r="M22" s="15">
        <f t="shared" si="0"/>
        <v>64184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8"/>
        <v>1</v>
      </c>
      <c r="AE22" s="36">
        <f t="shared" si="6"/>
        <v>0.42210144927536236</v>
      </c>
      <c r="AF22" s="81">
        <f t="shared" si="7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0.42210144927536236</v>
      </c>
      <c r="AF23" s="81">
        <f t="shared" si="7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9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0.42210144927536236</v>
      </c>
      <c r="AF24" s="81">
        <f t="shared" si="7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0.42210144927536236</v>
      </c>
      <c r="AF25" s="81">
        <f t="shared" si="7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0.42210144927536236</v>
      </c>
      <c r="AF26" s="81">
        <f t="shared" si="7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0.42210144927536236</v>
      </c>
      <c r="AF27" s="81">
        <f t="shared" si="7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0.42210144927536236</v>
      </c>
      <c r="AF28" s="81">
        <f t="shared" si="7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0">SUM(I6:I28)</f>
        <v>2979800</v>
      </c>
      <c r="J29" s="19">
        <f t="shared" si="10"/>
        <v>287375</v>
      </c>
      <c r="K29" s="20">
        <f t="shared" si="10"/>
        <v>1047318</v>
      </c>
      <c r="L29" s="21">
        <f t="shared" si="10"/>
        <v>142608</v>
      </c>
      <c r="M29" s="20">
        <f t="shared" si="10"/>
        <v>142608</v>
      </c>
      <c r="N29" s="21">
        <f t="shared" si="10"/>
        <v>0</v>
      </c>
      <c r="O29" s="41">
        <f t="shared" si="1"/>
        <v>0</v>
      </c>
      <c r="P29" s="42">
        <f t="shared" ref="P29:AA29" si="11">SUM(P6:P28)</f>
        <v>233</v>
      </c>
      <c r="Q29" s="43">
        <f t="shared" si="11"/>
        <v>319</v>
      </c>
      <c r="R29" s="23">
        <f t="shared" si="11"/>
        <v>7</v>
      </c>
      <c r="S29" s="24">
        <f t="shared" si="11"/>
        <v>71</v>
      </c>
      <c r="T29" s="24">
        <f t="shared" si="11"/>
        <v>2</v>
      </c>
      <c r="U29" s="24">
        <f t="shared" si="11"/>
        <v>0</v>
      </c>
      <c r="V29" s="25">
        <f t="shared" si="11"/>
        <v>0</v>
      </c>
      <c r="W29" s="26">
        <f t="shared" si="11"/>
        <v>215</v>
      </c>
      <c r="X29" s="27">
        <f t="shared" si="11"/>
        <v>0</v>
      </c>
      <c r="Y29" s="27">
        <f t="shared" si="11"/>
        <v>0</v>
      </c>
      <c r="Z29" s="27">
        <f t="shared" si="11"/>
        <v>0</v>
      </c>
      <c r="AA29" s="27">
        <f t="shared" si="11"/>
        <v>24</v>
      </c>
      <c r="AB29" s="28">
        <f>AVERAGE(AB6:AB28)</f>
        <v>0.5714285714285714</v>
      </c>
      <c r="AC29" s="4">
        <f>AVERAGE(AC6:AC28)</f>
        <v>0.42210144927536236</v>
      </c>
      <c r="AD29" s="4">
        <f>AVERAGE(AD6:AD28)</f>
        <v>0.42210144927536236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723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734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303" t="s">
        <v>46</v>
      </c>
      <c r="D58" s="303" t="s">
        <v>47</v>
      </c>
      <c r="E58" s="303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303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305" t="s">
        <v>151</v>
      </c>
      <c r="D59" s="305" t="s">
        <v>115</v>
      </c>
      <c r="E59" s="305" t="s">
        <v>289</v>
      </c>
      <c r="F59" s="412" t="s">
        <v>220</v>
      </c>
      <c r="G59" s="413"/>
      <c r="H59" s="413"/>
      <c r="I59" s="413"/>
      <c r="J59" s="413"/>
      <c r="K59" s="413"/>
      <c r="L59" s="413"/>
      <c r="M59" s="414"/>
      <c r="N59" s="304" t="s">
        <v>112</v>
      </c>
      <c r="O59" s="311" t="s">
        <v>151</v>
      </c>
      <c r="P59" s="415" t="s">
        <v>128</v>
      </c>
      <c r="Q59" s="416"/>
      <c r="R59" s="415" t="s">
        <v>735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563</v>
      </c>
      <c r="B60" s="411"/>
      <c r="C60" s="322" t="s">
        <v>200</v>
      </c>
      <c r="D60" s="322"/>
      <c r="E60" s="322" t="s">
        <v>659</v>
      </c>
      <c r="F60" s="412" t="s">
        <v>368</v>
      </c>
      <c r="G60" s="413"/>
      <c r="H60" s="413"/>
      <c r="I60" s="413"/>
      <c r="J60" s="413"/>
      <c r="K60" s="413"/>
      <c r="L60" s="413"/>
      <c r="M60" s="414"/>
      <c r="N60" s="304" t="s">
        <v>112</v>
      </c>
      <c r="O60" s="311" t="s">
        <v>150</v>
      </c>
      <c r="P60" s="415" t="s">
        <v>115</v>
      </c>
      <c r="Q60" s="416"/>
      <c r="R60" s="415" t="s">
        <v>639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724</v>
      </c>
      <c r="B61" s="411"/>
      <c r="C61" s="305" t="s">
        <v>725</v>
      </c>
      <c r="D61" s="305" t="s">
        <v>121</v>
      </c>
      <c r="E61" s="305" t="s">
        <v>726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304" t="s">
        <v>129</v>
      </c>
      <c r="O61" s="311" t="s">
        <v>262</v>
      </c>
      <c r="P61" s="415" t="s">
        <v>115</v>
      </c>
      <c r="Q61" s="416"/>
      <c r="R61" s="415" t="s">
        <v>663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724</v>
      </c>
      <c r="B62" s="411"/>
      <c r="C62" s="305" t="s">
        <v>695</v>
      </c>
      <c r="D62" s="305" t="s">
        <v>196</v>
      </c>
      <c r="E62" s="322" t="s">
        <v>727</v>
      </c>
      <c r="F62" s="412" t="s">
        <v>149</v>
      </c>
      <c r="G62" s="413"/>
      <c r="H62" s="413"/>
      <c r="I62" s="413"/>
      <c r="J62" s="413"/>
      <c r="K62" s="413"/>
      <c r="L62" s="413"/>
      <c r="M62" s="414"/>
      <c r="N62" s="304" t="s">
        <v>112</v>
      </c>
      <c r="O62" s="311" t="s">
        <v>253</v>
      </c>
      <c r="P62" s="415" t="s">
        <v>115</v>
      </c>
      <c r="Q62" s="416"/>
      <c r="R62" s="415" t="s">
        <v>667</v>
      </c>
      <c r="S62" s="417"/>
      <c r="T62" s="417"/>
      <c r="U62" s="416"/>
      <c r="V62" s="412" t="s">
        <v>122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322" t="s">
        <v>253</v>
      </c>
      <c r="D63" s="322" t="s">
        <v>115</v>
      </c>
      <c r="E63" s="322" t="s">
        <v>667</v>
      </c>
      <c r="F63" s="412" t="s">
        <v>728</v>
      </c>
      <c r="G63" s="413"/>
      <c r="H63" s="413"/>
      <c r="I63" s="413"/>
      <c r="J63" s="413"/>
      <c r="K63" s="413"/>
      <c r="L63" s="413"/>
      <c r="M63" s="414"/>
      <c r="N63" s="304" t="s">
        <v>112</v>
      </c>
      <c r="O63" s="311" t="s">
        <v>253</v>
      </c>
      <c r="P63" s="415" t="s">
        <v>115</v>
      </c>
      <c r="Q63" s="416"/>
      <c r="R63" s="415" t="s">
        <v>667</v>
      </c>
      <c r="S63" s="417"/>
      <c r="T63" s="417"/>
      <c r="U63" s="416"/>
      <c r="V63" s="412" t="s">
        <v>122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305" t="s">
        <v>730</v>
      </c>
      <c r="D64" s="305" t="s">
        <v>115</v>
      </c>
      <c r="E64" s="305" t="s">
        <v>729</v>
      </c>
      <c r="F64" s="412" t="s">
        <v>731</v>
      </c>
      <c r="G64" s="413"/>
      <c r="H64" s="413"/>
      <c r="I64" s="413"/>
      <c r="J64" s="413"/>
      <c r="K64" s="413"/>
      <c r="L64" s="413"/>
      <c r="M64" s="414"/>
      <c r="N64" s="304" t="s">
        <v>112</v>
      </c>
      <c r="O64" s="311" t="s">
        <v>736</v>
      </c>
      <c r="P64" s="415" t="s">
        <v>115</v>
      </c>
      <c r="Q64" s="416"/>
      <c r="R64" s="415" t="s">
        <v>737</v>
      </c>
      <c r="S64" s="417"/>
      <c r="T64" s="417"/>
      <c r="U64" s="416"/>
      <c r="V64" s="412" t="s">
        <v>122</v>
      </c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724</v>
      </c>
      <c r="B65" s="411"/>
      <c r="C65" s="305" t="s">
        <v>733</v>
      </c>
      <c r="D65" s="305" t="s">
        <v>115</v>
      </c>
      <c r="E65" s="305" t="s">
        <v>732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304" t="s">
        <v>724</v>
      </c>
      <c r="O65" s="311" t="s">
        <v>725</v>
      </c>
      <c r="P65" s="415" t="s">
        <v>739</v>
      </c>
      <c r="Q65" s="416"/>
      <c r="R65" s="415" t="s">
        <v>738</v>
      </c>
      <c r="S65" s="417"/>
      <c r="T65" s="417"/>
      <c r="U65" s="416"/>
      <c r="V65" s="412" t="s">
        <v>122</v>
      </c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308"/>
      <c r="D66" s="308"/>
      <c r="E66" s="305"/>
      <c r="F66" s="412"/>
      <c r="G66" s="413"/>
      <c r="H66" s="413"/>
      <c r="I66" s="413"/>
      <c r="J66" s="413"/>
      <c r="K66" s="413"/>
      <c r="L66" s="413"/>
      <c r="M66" s="414"/>
      <c r="N66" s="304" t="s">
        <v>724</v>
      </c>
      <c r="O66" s="311" t="s">
        <v>725</v>
      </c>
      <c r="P66" s="415" t="s">
        <v>115</v>
      </c>
      <c r="Q66" s="416"/>
      <c r="R66" s="415" t="s">
        <v>740</v>
      </c>
      <c r="S66" s="417"/>
      <c r="T66" s="417"/>
      <c r="U66" s="416"/>
      <c r="V66" s="412" t="s">
        <v>122</v>
      </c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308"/>
      <c r="D67" s="308"/>
      <c r="E67" s="305"/>
      <c r="F67" s="412"/>
      <c r="G67" s="413"/>
      <c r="H67" s="413"/>
      <c r="I67" s="413"/>
      <c r="J67" s="413"/>
      <c r="K67" s="413"/>
      <c r="L67" s="413"/>
      <c r="M67" s="414"/>
      <c r="N67" s="304"/>
      <c r="O67" s="311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306"/>
      <c r="D68" s="307"/>
      <c r="E68" s="306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741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309" t="s">
        <v>2</v>
      </c>
      <c r="D70" s="309" t="s">
        <v>37</v>
      </c>
      <c r="E70" s="309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309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173</v>
      </c>
      <c r="D71" s="313"/>
      <c r="E71" s="310" t="s">
        <v>705</v>
      </c>
      <c r="F71" s="437" t="s">
        <v>172</v>
      </c>
      <c r="G71" s="438"/>
      <c r="H71" s="438"/>
      <c r="I71" s="438"/>
      <c r="J71" s="438"/>
      <c r="K71" s="438" t="s">
        <v>145</v>
      </c>
      <c r="L71" s="438"/>
      <c r="M71" s="51" t="s">
        <v>184</v>
      </c>
      <c r="N71" s="439" t="s">
        <v>152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724</v>
      </c>
      <c r="D72" s="313"/>
      <c r="E72" s="310" t="s">
        <v>743</v>
      </c>
      <c r="F72" s="437" t="s">
        <v>742</v>
      </c>
      <c r="G72" s="438"/>
      <c r="H72" s="438"/>
      <c r="I72" s="438"/>
      <c r="J72" s="438"/>
      <c r="K72" s="438" t="s">
        <v>744</v>
      </c>
      <c r="L72" s="438"/>
      <c r="M72" s="51" t="s">
        <v>184</v>
      </c>
      <c r="N72" s="439" t="s">
        <v>725</v>
      </c>
      <c r="O72" s="439"/>
      <c r="P72" s="440" t="s">
        <v>745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724</v>
      </c>
      <c r="D73" s="313"/>
      <c r="E73" s="310" t="s">
        <v>746</v>
      </c>
      <c r="F73" s="437" t="s">
        <v>727</v>
      </c>
      <c r="G73" s="438"/>
      <c r="H73" s="438"/>
      <c r="I73" s="438"/>
      <c r="J73" s="438"/>
      <c r="K73" s="438">
        <v>7301</v>
      </c>
      <c r="L73" s="438"/>
      <c r="M73" s="51" t="s">
        <v>184</v>
      </c>
      <c r="N73" s="439" t="s">
        <v>725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 t="s">
        <v>748</v>
      </c>
      <c r="D74" s="313"/>
      <c r="E74" s="310" t="s">
        <v>146</v>
      </c>
      <c r="F74" s="443" t="s">
        <v>747</v>
      </c>
      <c r="G74" s="444"/>
      <c r="H74" s="444"/>
      <c r="I74" s="444"/>
      <c r="J74" s="445"/>
      <c r="K74" s="438" t="s">
        <v>749</v>
      </c>
      <c r="L74" s="438"/>
      <c r="M74" s="51" t="s">
        <v>184</v>
      </c>
      <c r="N74" s="439" t="s">
        <v>750</v>
      </c>
      <c r="O74" s="439"/>
      <c r="P74" s="440">
        <v>100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313"/>
      <c r="E75" s="310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313"/>
      <c r="E76" s="310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313"/>
      <c r="E77" s="310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313"/>
      <c r="E78" s="310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313"/>
      <c r="E79" s="310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313"/>
      <c r="E80" s="310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751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312" t="s">
        <v>2</v>
      </c>
      <c r="D82" s="312" t="s">
        <v>37</v>
      </c>
      <c r="E82" s="312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314"/>
      <c r="D83" s="314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313"/>
      <c r="D84" s="313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12">A84+1</f>
        <v>3</v>
      </c>
      <c r="B85" s="455"/>
      <c r="C85" s="313"/>
      <c r="D85" s="313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4</v>
      </c>
      <c r="B86" s="455"/>
      <c r="C86" s="313"/>
      <c r="D86" s="313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5</v>
      </c>
      <c r="B87" s="455"/>
      <c r="C87" s="313"/>
      <c r="D87" s="313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6</v>
      </c>
      <c r="B88" s="455"/>
      <c r="C88" s="313"/>
      <c r="D88" s="313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12"/>
        <v>7</v>
      </c>
      <c r="B89" s="455"/>
      <c r="C89" s="313"/>
      <c r="D89" s="313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752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5E73-732A-4132-8B7D-E8ED93C92D00}">
  <sheetPr>
    <pageSetUpPr fitToPage="1"/>
  </sheetPr>
  <dimension ref="A1:AF94"/>
  <sheetViews>
    <sheetView view="pageBreakPreview" zoomScale="70" zoomScaleNormal="72" zoomScaleSheetLayoutView="70" workbookViewId="0">
      <selection activeCell="F86" sqref="F86:J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753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27" t="s">
        <v>17</v>
      </c>
      <c r="L5" s="327" t="s">
        <v>18</v>
      </c>
      <c r="M5" s="327" t="s">
        <v>19</v>
      </c>
      <c r="N5" s="32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115</v>
      </c>
      <c r="E6" s="53" t="s">
        <v>607</v>
      </c>
      <c r="F6" s="30" t="s">
        <v>125</v>
      </c>
      <c r="G6" s="12">
        <v>4</v>
      </c>
      <c r="H6" s="13">
        <v>24</v>
      </c>
      <c r="I6" s="31">
        <v>2000</v>
      </c>
      <c r="J6" s="14">
        <v>5300</v>
      </c>
      <c r="K6" s="15">
        <f>L6+5300</f>
        <v>5300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8" si="4">IF(J6=0,"0",(L6/J6))</f>
        <v>0</v>
      </c>
      <c r="AC6" s="9">
        <f t="shared" ref="AC6:AC28" si="5">IF(P6=0,"0",(P6/24))</f>
        <v>0</v>
      </c>
      <c r="AD6" s="10">
        <f>AC6*AB6*(1-O6)</f>
        <v>0</v>
      </c>
      <c r="AE6" s="36">
        <f t="shared" ref="AE6:AE28" si="6">$AD$29</f>
        <v>0.36775362318840582</v>
      </c>
      <c r="AF6" s="81">
        <f t="shared" ref="AF6:AF28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1</v>
      </c>
      <c r="H7" s="13">
        <v>24</v>
      </c>
      <c r="I7" s="31">
        <v>190000</v>
      </c>
      <c r="J7" s="14">
        <v>11486</v>
      </c>
      <c r="K7" s="15">
        <f>L7+8898+11520+11558</f>
        <v>43462</v>
      </c>
      <c r="L7" s="15">
        <f>2913*2+2830*2</f>
        <v>11486</v>
      </c>
      <c r="M7" s="15">
        <f t="shared" si="0"/>
        <v>11486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8" si="8">AC7*AB7*(1-O7)</f>
        <v>1</v>
      </c>
      <c r="AE7" s="36">
        <f t="shared" si="6"/>
        <v>0.36775362318840582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128</v>
      </c>
      <c r="E8" s="53" t="s">
        <v>735</v>
      </c>
      <c r="F8" s="30" t="s">
        <v>130</v>
      </c>
      <c r="G8" s="12">
        <v>1</v>
      </c>
      <c r="H8" s="13">
        <v>22</v>
      </c>
      <c r="I8" s="31">
        <v>32000</v>
      </c>
      <c r="J8" s="5">
        <v>3632</v>
      </c>
      <c r="K8" s="15">
        <f>L8</f>
        <v>3632</v>
      </c>
      <c r="L8" s="15">
        <f>1271+2361</f>
        <v>3632</v>
      </c>
      <c r="M8" s="15">
        <f t="shared" si="0"/>
        <v>3632</v>
      </c>
      <c r="N8" s="15">
        <v>0</v>
      </c>
      <c r="O8" s="58">
        <f t="shared" si="1"/>
        <v>0</v>
      </c>
      <c r="P8" s="39">
        <f t="shared" si="2"/>
        <v>18</v>
      </c>
      <c r="Q8" s="40">
        <f t="shared" si="3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0.75</v>
      </c>
      <c r="AD8" s="10">
        <f t="shared" si="8"/>
        <v>0.75</v>
      </c>
      <c r="AE8" s="36">
        <f t="shared" si="6"/>
        <v>0.36775362318840582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563</v>
      </c>
      <c r="D9" s="52"/>
      <c r="E9" s="53" t="s">
        <v>646</v>
      </c>
      <c r="F9" s="30" t="s">
        <v>161</v>
      </c>
      <c r="G9" s="12">
        <v>2</v>
      </c>
      <c r="H9" s="13">
        <v>24</v>
      </c>
      <c r="I9" s="7">
        <v>24500</v>
      </c>
      <c r="J9" s="14">
        <v>11548</v>
      </c>
      <c r="K9" s="15">
        <f>L9+7548+11534+11630</f>
        <v>42260</v>
      </c>
      <c r="L9" s="15">
        <f>2931*2+2843*2</f>
        <v>11548</v>
      </c>
      <c r="M9" s="15">
        <f t="shared" si="0"/>
        <v>11548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0.36775362318840582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563</v>
      </c>
      <c r="D10" s="52"/>
      <c r="E10" s="53" t="s">
        <v>608</v>
      </c>
      <c r="F10" s="30" t="s">
        <v>282</v>
      </c>
      <c r="G10" s="33">
        <v>2</v>
      </c>
      <c r="H10" s="35">
        <v>24</v>
      </c>
      <c r="I10" s="7">
        <v>24500</v>
      </c>
      <c r="J10" s="14">
        <v>11024</v>
      </c>
      <c r="K10" s="15">
        <f>L10+8462+9820+9820+10676</f>
        <v>49802</v>
      </c>
      <c r="L10" s="15">
        <f>2797*2+2715*2</f>
        <v>11024</v>
      </c>
      <c r="M10" s="15">
        <f t="shared" si="0"/>
        <v>11024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0.36775362318840582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170</v>
      </c>
      <c r="E11" s="53" t="s">
        <v>738</v>
      </c>
      <c r="F11" s="30" t="s">
        <v>141</v>
      </c>
      <c r="G11" s="33">
        <v>1</v>
      </c>
      <c r="H11" s="35">
        <v>24</v>
      </c>
      <c r="I11" s="7">
        <v>800</v>
      </c>
      <c r="J11" s="14">
        <v>800</v>
      </c>
      <c r="K11" s="15">
        <f>L11</f>
        <v>800</v>
      </c>
      <c r="L11" s="15">
        <v>800</v>
      </c>
      <c r="M11" s="15">
        <f t="shared" si="0"/>
        <v>800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8"/>
        <v>0.16666666666666666</v>
      </c>
      <c r="AE11" s="36">
        <f t="shared" si="6"/>
        <v>0.36775362318840582</v>
      </c>
      <c r="AF11" s="81">
        <f t="shared" si="7"/>
        <v>6</v>
      </c>
    </row>
    <row r="12" spans="1:32" ht="27" customHeight="1">
      <c r="A12" s="93">
        <v>6</v>
      </c>
      <c r="B12" s="11" t="s">
        <v>57</v>
      </c>
      <c r="C12" s="11" t="s">
        <v>116</v>
      </c>
      <c r="D12" s="52" t="s">
        <v>115</v>
      </c>
      <c r="E12" s="53" t="s">
        <v>740</v>
      </c>
      <c r="F12" s="30" t="s">
        <v>141</v>
      </c>
      <c r="G12" s="33">
        <v>1</v>
      </c>
      <c r="H12" s="35">
        <v>24</v>
      </c>
      <c r="I12" s="7">
        <v>550</v>
      </c>
      <c r="J12" s="14">
        <v>1323</v>
      </c>
      <c r="K12" s="15">
        <f>L12</f>
        <v>1323</v>
      </c>
      <c r="L12" s="15">
        <f>803+520</f>
        <v>1323</v>
      </c>
      <c r="M12" s="15">
        <f t="shared" si="0"/>
        <v>1323</v>
      </c>
      <c r="N12" s="15">
        <v>0</v>
      </c>
      <c r="O12" s="58">
        <f t="shared" si="1"/>
        <v>0</v>
      </c>
      <c r="P12" s="39">
        <f t="shared" si="2"/>
        <v>12</v>
      </c>
      <c r="Q12" s="40">
        <f t="shared" si="3"/>
        <v>12</v>
      </c>
      <c r="R12" s="7"/>
      <c r="S12" s="6">
        <v>6</v>
      </c>
      <c r="T12" s="16">
        <v>6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</v>
      </c>
      <c r="AD12" s="10">
        <f t="shared" si="8"/>
        <v>0.5</v>
      </c>
      <c r="AE12" s="36">
        <f t="shared" si="6"/>
        <v>0.36775362318840582</v>
      </c>
      <c r="AF12" s="81">
        <f t="shared" si="7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f>70000+110000</f>
        <v>180000</v>
      </c>
      <c r="J13" s="5">
        <v>5296</v>
      </c>
      <c r="K13" s="15">
        <f>L13+5056+5299+5142+4725+5285+5308+3502+5153+5075+5268+5338+5267+5184+5110+5267+5309+13944+5077+5113+5283+5335+5351+3987+5016+5288+5339</f>
        <v>146317</v>
      </c>
      <c r="L13" s="15">
        <f>2682+2614</f>
        <v>5296</v>
      </c>
      <c r="M13" s="15">
        <f t="shared" si="0"/>
        <v>5296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0.36775362318840582</v>
      </c>
      <c r="AF13" s="81">
        <f t="shared" si="7"/>
        <v>7</v>
      </c>
    </row>
    <row r="14" spans="1:32" ht="27" customHeight="1">
      <c r="A14" s="93">
        <v>8</v>
      </c>
      <c r="B14" s="11" t="s">
        <v>57</v>
      </c>
      <c r="C14" s="11" t="s">
        <v>112</v>
      </c>
      <c r="D14" s="52" t="s">
        <v>154</v>
      </c>
      <c r="E14" s="53" t="s">
        <v>486</v>
      </c>
      <c r="F14" s="30" t="s">
        <v>123</v>
      </c>
      <c r="G14" s="33">
        <v>1</v>
      </c>
      <c r="H14" s="35">
        <v>22</v>
      </c>
      <c r="I14" s="7">
        <v>32000</v>
      </c>
      <c r="J14" s="14">
        <v>5812</v>
      </c>
      <c r="K14" s="15">
        <f>L14+6014+6382+6362+5997+6082+6286+5812</f>
        <v>42935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0.36775362318840582</v>
      </c>
      <c r="AF14" s="81">
        <f t="shared" si="7"/>
        <v>8</v>
      </c>
    </row>
    <row r="15" spans="1:32" ht="27" customHeight="1">
      <c r="A15" s="100">
        <v>9</v>
      </c>
      <c r="B15" s="11" t="s">
        <v>57</v>
      </c>
      <c r="C15" s="34" t="s">
        <v>112</v>
      </c>
      <c r="D15" s="52" t="s">
        <v>115</v>
      </c>
      <c r="E15" s="53" t="s">
        <v>639</v>
      </c>
      <c r="F15" s="30" t="s">
        <v>647</v>
      </c>
      <c r="G15" s="33">
        <v>1</v>
      </c>
      <c r="H15" s="35">
        <v>50</v>
      </c>
      <c r="I15" s="7">
        <v>300</v>
      </c>
      <c r="J15" s="5">
        <v>6132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0.36775362318840582</v>
      </c>
      <c r="AF15" s="81">
        <f t="shared" si="7"/>
        <v>9</v>
      </c>
    </row>
    <row r="16" spans="1:32" ht="27" customHeight="1">
      <c r="A16" s="107">
        <v>10</v>
      </c>
      <c r="B16" s="11" t="s">
        <v>57</v>
      </c>
      <c r="C16" s="34" t="s">
        <v>112</v>
      </c>
      <c r="D16" s="52" t="s">
        <v>146</v>
      </c>
      <c r="E16" s="53" t="s">
        <v>610</v>
      </c>
      <c r="F16" s="30" t="s">
        <v>148</v>
      </c>
      <c r="G16" s="12">
        <v>1</v>
      </c>
      <c r="H16" s="13">
        <v>24</v>
      </c>
      <c r="I16" s="31">
        <v>3300</v>
      </c>
      <c r="J16" s="14">
        <v>4832</v>
      </c>
      <c r="K16" s="15">
        <f>L16+4832</f>
        <v>4832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0.36775362318840582</v>
      </c>
      <c r="AF16" s="81">
        <f t="shared" si="7"/>
        <v>10</v>
      </c>
    </row>
    <row r="17" spans="1:32" ht="27" customHeight="1">
      <c r="A17" s="107">
        <v>11</v>
      </c>
      <c r="B17" s="11" t="s">
        <v>57</v>
      </c>
      <c r="C17" s="34" t="s">
        <v>563</v>
      </c>
      <c r="D17" s="52"/>
      <c r="E17" s="53" t="s">
        <v>659</v>
      </c>
      <c r="F17" s="30" t="s">
        <v>161</v>
      </c>
      <c r="G17" s="12">
        <v>2</v>
      </c>
      <c r="H17" s="13">
        <v>24</v>
      </c>
      <c r="I17" s="7">
        <v>24500</v>
      </c>
      <c r="J17" s="14">
        <v>9850</v>
      </c>
      <c r="K17" s="15">
        <f>L17+10730+9070</f>
        <v>29650</v>
      </c>
      <c r="L17" s="15">
        <f>3081*2+1844*2</f>
        <v>9850</v>
      </c>
      <c r="M17" s="15">
        <f t="shared" si="0"/>
        <v>9850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8"/>
        <v>0.79166666666666663</v>
      </c>
      <c r="AE17" s="36">
        <f t="shared" si="6"/>
        <v>0.36775362318840582</v>
      </c>
      <c r="AF17" s="81">
        <f t="shared" si="7"/>
        <v>11</v>
      </c>
    </row>
    <row r="18" spans="1:32" ht="27" customHeight="1">
      <c r="A18" s="107">
        <v>12</v>
      </c>
      <c r="B18" s="11" t="s">
        <v>57</v>
      </c>
      <c r="C18" s="34" t="s">
        <v>129</v>
      </c>
      <c r="D18" s="52" t="s">
        <v>131</v>
      </c>
      <c r="E18" s="53" t="s">
        <v>556</v>
      </c>
      <c r="F18" s="30" t="s">
        <v>572</v>
      </c>
      <c r="G18" s="12">
        <v>2</v>
      </c>
      <c r="H18" s="13">
        <v>24</v>
      </c>
      <c r="I18" s="7">
        <v>15000</v>
      </c>
      <c r="J18" s="14">
        <v>7890</v>
      </c>
      <c r="K18" s="15">
        <f>L18+7542+7890</f>
        <v>15432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8"/>
        <v>0</v>
      </c>
      <c r="AE18" s="36">
        <f t="shared" si="6"/>
        <v>0.36775362318840582</v>
      </c>
      <c r="AF18" s="81">
        <f t="shared" si="7"/>
        <v>12</v>
      </c>
    </row>
    <row r="19" spans="1:32" ht="27" customHeight="1">
      <c r="A19" s="107">
        <v>13</v>
      </c>
      <c r="B19" s="11" t="s">
        <v>57</v>
      </c>
      <c r="C19" s="34" t="s">
        <v>112</v>
      </c>
      <c r="D19" s="52" t="s">
        <v>115</v>
      </c>
      <c r="E19" s="53" t="s">
        <v>208</v>
      </c>
      <c r="F19" s="30" t="s">
        <v>209</v>
      </c>
      <c r="G19" s="12">
        <v>1</v>
      </c>
      <c r="H19" s="13">
        <v>24</v>
      </c>
      <c r="I19" s="7">
        <v>100</v>
      </c>
      <c r="J19" s="14">
        <v>143</v>
      </c>
      <c r="K19" s="15">
        <f>L19+143</f>
        <v>143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8"/>
        <v>0</v>
      </c>
      <c r="AE19" s="36">
        <f t="shared" si="6"/>
        <v>0.36775362318840582</v>
      </c>
      <c r="AF19" s="81">
        <f t="shared" si="7"/>
        <v>13</v>
      </c>
    </row>
    <row r="20" spans="1:32" ht="27" customHeight="1">
      <c r="A20" s="93">
        <v>14</v>
      </c>
      <c r="B20" s="11" t="s">
        <v>57</v>
      </c>
      <c r="C20" s="11" t="s">
        <v>129</v>
      </c>
      <c r="D20" s="52" t="s">
        <v>115</v>
      </c>
      <c r="E20" s="53" t="s">
        <v>663</v>
      </c>
      <c r="F20" s="30" t="s">
        <v>282</v>
      </c>
      <c r="G20" s="33">
        <v>2</v>
      </c>
      <c r="H20" s="35">
        <v>24</v>
      </c>
      <c r="I20" s="7">
        <v>32000</v>
      </c>
      <c r="J20" s="14">
        <v>7323</v>
      </c>
      <c r="K20" s="15">
        <f>L20</f>
        <v>7323</v>
      </c>
      <c r="L20" s="15">
        <f>2286*2+2751</f>
        <v>7323</v>
      </c>
      <c r="M20" s="15">
        <f t="shared" si="0"/>
        <v>7323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8"/>
        <v>0.91666666666666663</v>
      </c>
      <c r="AE20" s="36">
        <f t="shared" si="6"/>
        <v>0.36775362318840582</v>
      </c>
      <c r="AF20" s="81">
        <f t="shared" si="7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115</v>
      </c>
      <c r="E21" s="53" t="s">
        <v>171</v>
      </c>
      <c r="F21" s="30" t="s">
        <v>144</v>
      </c>
      <c r="G21" s="33">
        <v>2</v>
      </c>
      <c r="H21" s="35">
        <v>24</v>
      </c>
      <c r="I21" s="7">
        <v>190000</v>
      </c>
      <c r="J21" s="14">
        <v>2429</v>
      </c>
      <c r="K21" s="15">
        <f>L21</f>
        <v>2429</v>
      </c>
      <c r="L21" s="15">
        <f>2429</f>
        <v>2429</v>
      </c>
      <c r="M21" s="15">
        <f t="shared" si="0"/>
        <v>2429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>
        <v>11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8"/>
        <v>0.54166666666666663</v>
      </c>
      <c r="AE21" s="36">
        <f t="shared" si="6"/>
        <v>0.36775362318840582</v>
      </c>
      <c r="AF21" s="81">
        <f t="shared" si="7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494</v>
      </c>
      <c r="F22" s="12" t="s">
        <v>114</v>
      </c>
      <c r="G22" s="12">
        <v>4</v>
      </c>
      <c r="H22" s="35">
        <v>20</v>
      </c>
      <c r="I22" s="7">
        <v>2000000</v>
      </c>
      <c r="J22" s="14">
        <v>45828</v>
      </c>
      <c r="K22" s="15">
        <f>L22+34748+57176+64908+60896+57820+63964+64184</f>
        <v>449524</v>
      </c>
      <c r="L22" s="15">
        <f>7836*4+3621*4</f>
        <v>45828</v>
      </c>
      <c r="M22" s="15">
        <f t="shared" si="0"/>
        <v>45828</v>
      </c>
      <c r="N22" s="15">
        <v>0</v>
      </c>
      <c r="O22" s="58">
        <f t="shared" si="1"/>
        <v>0</v>
      </c>
      <c r="P22" s="39">
        <f t="shared" si="2"/>
        <v>19</v>
      </c>
      <c r="Q22" s="40">
        <f t="shared" si="3"/>
        <v>5</v>
      </c>
      <c r="R22" s="7"/>
      <c r="S22" s="6">
        <v>5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0.79166666666666663</v>
      </c>
      <c r="AD22" s="10">
        <f t="shared" si="8"/>
        <v>0.79166666666666663</v>
      </c>
      <c r="AE22" s="36">
        <f t="shared" si="6"/>
        <v>0.36775362318840582</v>
      </c>
      <c r="AF22" s="81">
        <f t="shared" si="7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9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0.36775362318840582</v>
      </c>
      <c r="AF23" s="81">
        <f t="shared" si="7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9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0.36775362318840582</v>
      </c>
      <c r="AF24" s="81">
        <f t="shared" si="7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0.36775362318840582</v>
      </c>
      <c r="AF25" s="81">
        <f t="shared" si="7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134</v>
      </c>
      <c r="F26" s="12" t="s">
        <v>125</v>
      </c>
      <c r="G26" s="12">
        <v>4</v>
      </c>
      <c r="H26" s="35">
        <v>20</v>
      </c>
      <c r="I26" s="7">
        <v>60000</v>
      </c>
      <c r="J26" s="14">
        <v>26768</v>
      </c>
      <c r="K26" s="15">
        <f>L26+24016+26768+22600</f>
        <v>73384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0.36775362318840582</v>
      </c>
      <c r="AF26" s="81">
        <f t="shared" si="7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0.36775362318840582</v>
      </c>
      <c r="AF27" s="81">
        <f t="shared" si="7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0.36775362318840582</v>
      </c>
      <c r="AF28" s="81">
        <f t="shared" si="7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0">SUM(I6:I28)</f>
        <v>2991550</v>
      </c>
      <c r="J29" s="19">
        <f t="shared" si="10"/>
        <v>248676</v>
      </c>
      <c r="K29" s="20">
        <f t="shared" si="10"/>
        <v>1141408</v>
      </c>
      <c r="L29" s="21">
        <f t="shared" si="10"/>
        <v>110539</v>
      </c>
      <c r="M29" s="20">
        <f t="shared" si="10"/>
        <v>110539</v>
      </c>
      <c r="N29" s="21">
        <f t="shared" si="10"/>
        <v>0</v>
      </c>
      <c r="O29" s="41">
        <f t="shared" si="1"/>
        <v>0</v>
      </c>
      <c r="P29" s="42">
        <f t="shared" ref="P29:AA29" si="11">SUM(P6:P28)</f>
        <v>203</v>
      </c>
      <c r="Q29" s="43">
        <f t="shared" si="11"/>
        <v>349</v>
      </c>
      <c r="R29" s="23">
        <f t="shared" si="11"/>
        <v>0</v>
      </c>
      <c r="S29" s="24">
        <f t="shared" si="11"/>
        <v>81</v>
      </c>
      <c r="T29" s="24">
        <f t="shared" si="11"/>
        <v>8</v>
      </c>
      <c r="U29" s="24">
        <f t="shared" si="11"/>
        <v>0</v>
      </c>
      <c r="V29" s="25">
        <f t="shared" si="11"/>
        <v>0</v>
      </c>
      <c r="W29" s="26">
        <f t="shared" si="11"/>
        <v>212</v>
      </c>
      <c r="X29" s="27">
        <f t="shared" si="11"/>
        <v>0</v>
      </c>
      <c r="Y29" s="27">
        <f t="shared" si="11"/>
        <v>0</v>
      </c>
      <c r="Z29" s="27">
        <f t="shared" si="11"/>
        <v>0</v>
      </c>
      <c r="AA29" s="27">
        <f t="shared" si="11"/>
        <v>48</v>
      </c>
      <c r="AB29" s="28">
        <f>AVERAGE(AB6:AB28)</f>
        <v>0.52380952380952384</v>
      </c>
      <c r="AC29" s="4">
        <f>AVERAGE(AC6:AC28)</f>
        <v>0.36775362318840582</v>
      </c>
      <c r="AD29" s="4">
        <f>AVERAGE(AD6:AD28)</f>
        <v>0.36775362318840582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754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760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326" t="s">
        <v>46</v>
      </c>
      <c r="D58" s="326" t="s">
        <v>47</v>
      </c>
      <c r="E58" s="326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326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322" t="s">
        <v>151</v>
      </c>
      <c r="D59" s="322" t="s">
        <v>128</v>
      </c>
      <c r="E59" s="322" t="s">
        <v>735</v>
      </c>
      <c r="F59" s="412" t="s">
        <v>755</v>
      </c>
      <c r="G59" s="413"/>
      <c r="H59" s="413"/>
      <c r="I59" s="413"/>
      <c r="J59" s="413"/>
      <c r="K59" s="413"/>
      <c r="L59" s="413"/>
      <c r="M59" s="414"/>
      <c r="N59" s="325" t="s">
        <v>173</v>
      </c>
      <c r="O59" s="319" t="s">
        <v>152</v>
      </c>
      <c r="P59" s="415" t="s">
        <v>146</v>
      </c>
      <c r="Q59" s="416"/>
      <c r="R59" s="415" t="s">
        <v>761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563</v>
      </c>
      <c r="B60" s="411"/>
      <c r="C60" s="322" t="s">
        <v>200</v>
      </c>
      <c r="D60" s="322"/>
      <c r="E60" s="322" t="s">
        <v>659</v>
      </c>
      <c r="F60" s="412" t="s">
        <v>368</v>
      </c>
      <c r="G60" s="413"/>
      <c r="H60" s="413"/>
      <c r="I60" s="413"/>
      <c r="J60" s="413"/>
      <c r="K60" s="413"/>
      <c r="L60" s="413"/>
      <c r="M60" s="414"/>
      <c r="N60" s="325" t="s">
        <v>112</v>
      </c>
      <c r="O60" s="319" t="s">
        <v>150</v>
      </c>
      <c r="P60" s="415" t="s">
        <v>115</v>
      </c>
      <c r="Q60" s="416"/>
      <c r="R60" s="415" t="s">
        <v>639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724</v>
      </c>
      <c r="B61" s="411"/>
      <c r="C61" s="322" t="s">
        <v>725</v>
      </c>
      <c r="D61" s="322" t="s">
        <v>154</v>
      </c>
      <c r="E61" s="322" t="s">
        <v>738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330" t="s">
        <v>112</v>
      </c>
      <c r="O61" s="337" t="s">
        <v>253</v>
      </c>
      <c r="P61" s="415" t="s">
        <v>115</v>
      </c>
      <c r="Q61" s="416"/>
      <c r="R61" s="415" t="s">
        <v>208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724</v>
      </c>
      <c r="B62" s="411"/>
      <c r="C62" s="322" t="s">
        <v>185</v>
      </c>
      <c r="D62" s="322" t="s">
        <v>115</v>
      </c>
      <c r="E62" s="322" t="s">
        <v>756</v>
      </c>
      <c r="F62" s="412" t="s">
        <v>122</v>
      </c>
      <c r="G62" s="413"/>
      <c r="H62" s="413"/>
      <c r="I62" s="413"/>
      <c r="J62" s="413"/>
      <c r="K62" s="413"/>
      <c r="L62" s="413"/>
      <c r="M62" s="414"/>
      <c r="N62" s="325" t="s">
        <v>112</v>
      </c>
      <c r="O62" s="319" t="s">
        <v>253</v>
      </c>
      <c r="P62" s="415" t="s">
        <v>115</v>
      </c>
      <c r="Q62" s="416"/>
      <c r="R62" s="415" t="s">
        <v>667</v>
      </c>
      <c r="S62" s="417"/>
      <c r="T62" s="417"/>
      <c r="U62" s="416"/>
      <c r="V62" s="412" t="s">
        <v>220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322" t="s">
        <v>253</v>
      </c>
      <c r="D63" s="322" t="s">
        <v>115</v>
      </c>
      <c r="E63" s="322" t="s">
        <v>208</v>
      </c>
      <c r="F63" s="412" t="s">
        <v>757</v>
      </c>
      <c r="G63" s="413"/>
      <c r="H63" s="413"/>
      <c r="I63" s="413"/>
      <c r="J63" s="413"/>
      <c r="K63" s="413"/>
      <c r="L63" s="413"/>
      <c r="M63" s="414"/>
      <c r="N63" s="325" t="s">
        <v>112</v>
      </c>
      <c r="O63" s="319" t="s">
        <v>253</v>
      </c>
      <c r="P63" s="415" t="s">
        <v>115</v>
      </c>
      <c r="Q63" s="416"/>
      <c r="R63" s="415" t="s">
        <v>667</v>
      </c>
      <c r="S63" s="417"/>
      <c r="T63" s="417"/>
      <c r="U63" s="416"/>
      <c r="V63" s="412" t="s">
        <v>220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322" t="s">
        <v>730</v>
      </c>
      <c r="D64" s="322" t="s">
        <v>115</v>
      </c>
      <c r="E64" s="322" t="s">
        <v>729</v>
      </c>
      <c r="F64" s="412" t="s">
        <v>758</v>
      </c>
      <c r="G64" s="413"/>
      <c r="H64" s="413"/>
      <c r="I64" s="413"/>
      <c r="J64" s="413"/>
      <c r="K64" s="413"/>
      <c r="L64" s="413"/>
      <c r="M64" s="414"/>
      <c r="N64" s="325" t="s">
        <v>112</v>
      </c>
      <c r="O64" s="319" t="s">
        <v>763</v>
      </c>
      <c r="P64" s="415" t="s">
        <v>764</v>
      </c>
      <c r="Q64" s="416"/>
      <c r="R64" s="415" t="s">
        <v>762</v>
      </c>
      <c r="S64" s="417"/>
      <c r="T64" s="417"/>
      <c r="U64" s="416"/>
      <c r="V64" s="412" t="s">
        <v>220</v>
      </c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129</v>
      </c>
      <c r="B65" s="411"/>
      <c r="C65" s="322" t="s">
        <v>733</v>
      </c>
      <c r="D65" s="322" t="s">
        <v>115</v>
      </c>
      <c r="E65" s="322" t="s">
        <v>663</v>
      </c>
      <c r="F65" s="412" t="s">
        <v>759</v>
      </c>
      <c r="G65" s="413"/>
      <c r="H65" s="413"/>
      <c r="I65" s="413"/>
      <c r="J65" s="413"/>
      <c r="K65" s="413"/>
      <c r="L65" s="413"/>
      <c r="M65" s="414"/>
      <c r="N65" s="325" t="s">
        <v>766</v>
      </c>
      <c r="O65" s="319" t="s">
        <v>767</v>
      </c>
      <c r="P65" s="415" t="s">
        <v>768</v>
      </c>
      <c r="Q65" s="416"/>
      <c r="R65" s="415" t="s">
        <v>765</v>
      </c>
      <c r="S65" s="417"/>
      <c r="T65" s="417"/>
      <c r="U65" s="416"/>
      <c r="V65" s="412" t="s">
        <v>122</v>
      </c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321"/>
      <c r="D66" s="321"/>
      <c r="E66" s="322"/>
      <c r="F66" s="412"/>
      <c r="G66" s="413"/>
      <c r="H66" s="413"/>
      <c r="I66" s="413"/>
      <c r="J66" s="413"/>
      <c r="K66" s="413"/>
      <c r="L66" s="413"/>
      <c r="M66" s="414"/>
      <c r="N66" s="325" t="s">
        <v>766</v>
      </c>
      <c r="O66" s="319" t="s">
        <v>770</v>
      </c>
      <c r="P66" s="415" t="s">
        <v>771</v>
      </c>
      <c r="Q66" s="416"/>
      <c r="R66" s="415" t="s">
        <v>769</v>
      </c>
      <c r="S66" s="417"/>
      <c r="T66" s="417"/>
      <c r="U66" s="416"/>
      <c r="V66" s="412" t="s">
        <v>122</v>
      </c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321"/>
      <c r="D67" s="321"/>
      <c r="E67" s="322"/>
      <c r="F67" s="412"/>
      <c r="G67" s="413"/>
      <c r="H67" s="413"/>
      <c r="I67" s="413"/>
      <c r="J67" s="413"/>
      <c r="K67" s="413"/>
      <c r="L67" s="413"/>
      <c r="M67" s="414"/>
      <c r="N67" s="325"/>
      <c r="O67" s="319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323"/>
      <c r="D68" s="324"/>
      <c r="E68" s="323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772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320" t="s">
        <v>2</v>
      </c>
      <c r="D70" s="320" t="s">
        <v>37</v>
      </c>
      <c r="E70" s="320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320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774</v>
      </c>
      <c r="D71" s="315"/>
      <c r="E71" s="318" t="s">
        <v>775</v>
      </c>
      <c r="F71" s="437" t="s">
        <v>773</v>
      </c>
      <c r="G71" s="438"/>
      <c r="H71" s="438"/>
      <c r="I71" s="438"/>
      <c r="J71" s="438"/>
      <c r="K71" s="438" t="s">
        <v>776</v>
      </c>
      <c r="L71" s="438"/>
      <c r="M71" s="51" t="s">
        <v>777</v>
      </c>
      <c r="N71" s="439" t="s">
        <v>763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774</v>
      </c>
      <c r="D72" s="315"/>
      <c r="E72" s="318" t="s">
        <v>779</v>
      </c>
      <c r="F72" s="437" t="s">
        <v>778</v>
      </c>
      <c r="G72" s="438"/>
      <c r="H72" s="438"/>
      <c r="I72" s="438"/>
      <c r="J72" s="438"/>
      <c r="K72" s="438" t="s">
        <v>780</v>
      </c>
      <c r="L72" s="438"/>
      <c r="M72" s="51" t="s">
        <v>777</v>
      </c>
      <c r="N72" s="439" t="s">
        <v>781</v>
      </c>
      <c r="O72" s="439"/>
      <c r="P72" s="440">
        <v>50</v>
      </c>
      <c r="Q72" s="440"/>
      <c r="R72" s="441" t="s">
        <v>782</v>
      </c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774</v>
      </c>
      <c r="D73" s="315"/>
      <c r="E73" s="318" t="s">
        <v>771</v>
      </c>
      <c r="F73" s="437" t="s">
        <v>783</v>
      </c>
      <c r="G73" s="438"/>
      <c r="H73" s="438"/>
      <c r="I73" s="438"/>
      <c r="J73" s="438"/>
      <c r="K73" s="438" t="s">
        <v>784</v>
      </c>
      <c r="L73" s="438"/>
      <c r="M73" s="51" t="s">
        <v>785</v>
      </c>
      <c r="N73" s="439" t="s">
        <v>767</v>
      </c>
      <c r="O73" s="439"/>
      <c r="P73" s="440" t="s">
        <v>786</v>
      </c>
      <c r="Q73" s="440"/>
      <c r="R73" s="441" t="s">
        <v>787</v>
      </c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 t="s">
        <v>766</v>
      </c>
      <c r="D74" s="315"/>
      <c r="E74" s="318"/>
      <c r="F74" s="443" t="s">
        <v>788</v>
      </c>
      <c r="G74" s="444"/>
      <c r="H74" s="444"/>
      <c r="I74" s="444"/>
      <c r="J74" s="445"/>
      <c r="K74" s="438" t="s">
        <v>789</v>
      </c>
      <c r="L74" s="438"/>
      <c r="M74" s="51" t="s">
        <v>777</v>
      </c>
      <c r="N74" s="439" t="s">
        <v>790</v>
      </c>
      <c r="O74" s="439"/>
      <c r="P74" s="440">
        <v>50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 t="s">
        <v>766</v>
      </c>
      <c r="D75" s="315"/>
      <c r="E75" s="318"/>
      <c r="F75" s="443" t="s">
        <v>791</v>
      </c>
      <c r="G75" s="444"/>
      <c r="H75" s="444"/>
      <c r="I75" s="444"/>
      <c r="J75" s="445"/>
      <c r="K75" s="438" t="s">
        <v>789</v>
      </c>
      <c r="L75" s="438"/>
      <c r="M75" s="51" t="s">
        <v>777</v>
      </c>
      <c r="N75" s="439" t="s">
        <v>790</v>
      </c>
      <c r="O75" s="439"/>
      <c r="P75" s="440">
        <v>50</v>
      </c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 t="s">
        <v>766</v>
      </c>
      <c r="D76" s="315"/>
      <c r="E76" s="318" t="s">
        <v>771</v>
      </c>
      <c r="F76" s="443" t="s">
        <v>792</v>
      </c>
      <c r="G76" s="444"/>
      <c r="H76" s="444"/>
      <c r="I76" s="444"/>
      <c r="J76" s="445"/>
      <c r="K76" s="438" t="s">
        <v>793</v>
      </c>
      <c r="L76" s="438"/>
      <c r="M76" s="51" t="s">
        <v>777</v>
      </c>
      <c r="N76" s="439" t="s">
        <v>770</v>
      </c>
      <c r="O76" s="439"/>
      <c r="P76" s="440">
        <v>100</v>
      </c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 t="s">
        <v>766</v>
      </c>
      <c r="D77" s="315"/>
      <c r="E77" s="318" t="s">
        <v>771</v>
      </c>
      <c r="F77" s="443" t="s">
        <v>794</v>
      </c>
      <c r="G77" s="444"/>
      <c r="H77" s="444"/>
      <c r="I77" s="444"/>
      <c r="J77" s="445"/>
      <c r="K77" s="438" t="s">
        <v>793</v>
      </c>
      <c r="L77" s="438"/>
      <c r="M77" s="51" t="s">
        <v>777</v>
      </c>
      <c r="N77" s="439" t="s">
        <v>770</v>
      </c>
      <c r="O77" s="439"/>
      <c r="P77" s="440">
        <v>200</v>
      </c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315"/>
      <c r="E78" s="318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315"/>
      <c r="E79" s="318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315"/>
      <c r="E80" s="318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795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317" t="s">
        <v>2</v>
      </c>
      <c r="D82" s="317" t="s">
        <v>37</v>
      </c>
      <c r="E82" s="317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316"/>
      <c r="D83" s="316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315"/>
      <c r="D84" s="315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12">A84+1</f>
        <v>3</v>
      </c>
      <c r="B85" s="455"/>
      <c r="C85" s="315"/>
      <c r="D85" s="315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4</v>
      </c>
      <c r="B86" s="455"/>
      <c r="C86" s="315"/>
      <c r="D86" s="315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5</v>
      </c>
      <c r="B87" s="455"/>
      <c r="C87" s="315"/>
      <c r="D87" s="315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6</v>
      </c>
      <c r="B88" s="455"/>
      <c r="C88" s="315"/>
      <c r="D88" s="315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12"/>
        <v>7</v>
      </c>
      <c r="B89" s="455"/>
      <c r="C89" s="315"/>
      <c r="D89" s="315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796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E5D0-CB7F-479A-A77B-6018FEB0AAF3}">
  <sheetPr>
    <pageSetUpPr fitToPage="1"/>
  </sheetPr>
  <dimension ref="A1:AF94"/>
  <sheetViews>
    <sheetView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797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28" t="s">
        <v>17</v>
      </c>
      <c r="L5" s="328" t="s">
        <v>18</v>
      </c>
      <c r="M5" s="328" t="s">
        <v>19</v>
      </c>
      <c r="N5" s="32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173</v>
      </c>
      <c r="D6" s="52" t="s">
        <v>146</v>
      </c>
      <c r="E6" s="53" t="s">
        <v>761</v>
      </c>
      <c r="F6" s="30" t="s">
        <v>145</v>
      </c>
      <c r="G6" s="12">
        <v>1</v>
      </c>
      <c r="H6" s="13">
        <v>24</v>
      </c>
      <c r="I6" s="31">
        <v>1000</v>
      </c>
      <c r="J6" s="14">
        <v>1590</v>
      </c>
      <c r="K6" s="15">
        <f>L6</f>
        <v>1590</v>
      </c>
      <c r="L6" s="15">
        <v>1590</v>
      </c>
      <c r="M6" s="15">
        <f t="shared" ref="M6:M28" si="0">L6-N6</f>
        <v>1590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8</v>
      </c>
      <c r="Q6" s="40">
        <f t="shared" ref="Q6:Q28" si="3">SUM(R6:AA6)</f>
        <v>16</v>
      </c>
      <c r="R6" s="7"/>
      <c r="S6" s="6"/>
      <c r="T6" s="16"/>
      <c r="U6" s="16"/>
      <c r="V6" s="17"/>
      <c r="W6" s="5">
        <v>16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0.33333333333333331</v>
      </c>
      <c r="AD6" s="10">
        <f>AC6*AB6*(1-O6)</f>
        <v>0.33333333333333331</v>
      </c>
      <c r="AE6" s="36">
        <f t="shared" ref="AE6:AE28" si="6">$AD$29</f>
        <v>0.42970408101388635</v>
      </c>
      <c r="AF6" s="81">
        <f t="shared" ref="AF6:AF28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1</v>
      </c>
      <c r="H7" s="13">
        <v>24</v>
      </c>
      <c r="I7" s="31">
        <v>190000</v>
      </c>
      <c r="J7" s="14">
        <v>11566</v>
      </c>
      <c r="K7" s="15">
        <f>L7+8898+11520+11558+11486</f>
        <v>55028</v>
      </c>
      <c r="L7" s="15">
        <f>2905*2+2878*2</f>
        <v>11566</v>
      </c>
      <c r="M7" s="15">
        <f t="shared" si="0"/>
        <v>11566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8" si="8">AC7*AB7*(1-O7)</f>
        <v>1</v>
      </c>
      <c r="AE7" s="36">
        <f t="shared" si="6"/>
        <v>0.42970408101388635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128</v>
      </c>
      <c r="E8" s="53" t="s">
        <v>735</v>
      </c>
      <c r="F8" s="30" t="s">
        <v>130</v>
      </c>
      <c r="G8" s="12">
        <v>1</v>
      </c>
      <c r="H8" s="13">
        <v>22</v>
      </c>
      <c r="I8" s="31">
        <v>32000</v>
      </c>
      <c r="J8" s="5">
        <v>827</v>
      </c>
      <c r="K8" s="15">
        <f>L8+3632</f>
        <v>4459</v>
      </c>
      <c r="L8" s="15">
        <v>827</v>
      </c>
      <c r="M8" s="15">
        <f t="shared" si="0"/>
        <v>827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>
        <v>17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8"/>
        <v>0.29166666666666669</v>
      </c>
      <c r="AE8" s="36">
        <f t="shared" si="6"/>
        <v>0.42970408101388635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563</v>
      </c>
      <c r="D9" s="52"/>
      <c r="E9" s="53" t="s">
        <v>646</v>
      </c>
      <c r="F9" s="30" t="s">
        <v>161</v>
      </c>
      <c r="G9" s="12">
        <v>2</v>
      </c>
      <c r="H9" s="13">
        <v>24</v>
      </c>
      <c r="I9" s="7">
        <v>73000</v>
      </c>
      <c r="J9" s="14">
        <v>11636</v>
      </c>
      <c r="K9" s="15">
        <f>L9+7548+11534+11630+11548</f>
        <v>53896</v>
      </c>
      <c r="L9" s="15">
        <f>2898*2+2920*2</f>
        <v>11636</v>
      </c>
      <c r="M9" s="15">
        <f t="shared" si="0"/>
        <v>11636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8"/>
        <v>1</v>
      </c>
      <c r="AE9" s="36">
        <f t="shared" si="6"/>
        <v>0.42970408101388635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563</v>
      </c>
      <c r="D10" s="52"/>
      <c r="E10" s="53" t="s">
        <v>608</v>
      </c>
      <c r="F10" s="30" t="s">
        <v>282</v>
      </c>
      <c r="G10" s="33">
        <v>2</v>
      </c>
      <c r="H10" s="35">
        <v>24</v>
      </c>
      <c r="I10" s="7">
        <v>73000</v>
      </c>
      <c r="J10" s="14">
        <v>11102</v>
      </c>
      <c r="K10" s="15">
        <f>L10+8462+9820+9820+10676+11024</f>
        <v>60904</v>
      </c>
      <c r="L10" s="15">
        <f>2764*2+2787*2</f>
        <v>11102</v>
      </c>
      <c r="M10" s="15">
        <f t="shared" si="0"/>
        <v>11102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0.42970408101388635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112</v>
      </c>
      <c r="D11" s="52" t="s">
        <v>115</v>
      </c>
      <c r="E11" s="53" t="s">
        <v>326</v>
      </c>
      <c r="F11" s="30" t="s">
        <v>250</v>
      </c>
      <c r="G11" s="33">
        <v>1</v>
      </c>
      <c r="H11" s="35">
        <v>24</v>
      </c>
      <c r="I11" s="7">
        <v>300</v>
      </c>
      <c r="J11" s="14">
        <v>300</v>
      </c>
      <c r="K11" s="15">
        <f>L11</f>
        <v>300</v>
      </c>
      <c r="L11" s="15">
        <v>300</v>
      </c>
      <c r="M11" s="15">
        <f t="shared" si="0"/>
        <v>300</v>
      </c>
      <c r="N11" s="15">
        <v>0</v>
      </c>
      <c r="O11" s="58">
        <f t="shared" si="1"/>
        <v>0</v>
      </c>
      <c r="P11" s="39">
        <f t="shared" si="2"/>
        <v>3</v>
      </c>
      <c r="Q11" s="40">
        <f t="shared" si="3"/>
        <v>21</v>
      </c>
      <c r="R11" s="7"/>
      <c r="S11" s="6"/>
      <c r="T11" s="16"/>
      <c r="U11" s="16"/>
      <c r="V11" s="17"/>
      <c r="W11" s="5">
        <v>21</v>
      </c>
      <c r="X11" s="16"/>
      <c r="Y11" s="16"/>
      <c r="Z11" s="16"/>
      <c r="AA11" s="18"/>
      <c r="AB11" s="8">
        <f t="shared" si="4"/>
        <v>1</v>
      </c>
      <c r="AC11" s="9">
        <f t="shared" si="5"/>
        <v>0.125</v>
      </c>
      <c r="AD11" s="10">
        <f t="shared" si="8"/>
        <v>0.125</v>
      </c>
      <c r="AE11" s="36">
        <f t="shared" si="6"/>
        <v>0.42970408101388635</v>
      </c>
      <c r="AF11" s="81">
        <f t="shared" si="7"/>
        <v>6</v>
      </c>
    </row>
    <row r="12" spans="1:32" ht="27" customHeight="1">
      <c r="A12" s="93">
        <v>6</v>
      </c>
      <c r="B12" s="11" t="s">
        <v>57</v>
      </c>
      <c r="C12" s="11" t="s">
        <v>129</v>
      </c>
      <c r="D12" s="52" t="s">
        <v>121</v>
      </c>
      <c r="E12" s="53" t="s">
        <v>312</v>
      </c>
      <c r="F12" s="30" t="s">
        <v>124</v>
      </c>
      <c r="G12" s="33">
        <v>1</v>
      </c>
      <c r="H12" s="35">
        <v>24</v>
      </c>
      <c r="I12" s="7">
        <v>2000</v>
      </c>
      <c r="J12" s="14">
        <v>2421</v>
      </c>
      <c r="K12" s="15">
        <f>L12</f>
        <v>2421</v>
      </c>
      <c r="L12" s="15">
        <f>1582+839</f>
        <v>2421</v>
      </c>
      <c r="M12" s="15">
        <f t="shared" si="0"/>
        <v>2421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8"/>
        <v>0.41666666666666669</v>
      </c>
      <c r="AE12" s="36">
        <f t="shared" si="6"/>
        <v>0.42970408101388635</v>
      </c>
      <c r="AF12" s="81">
        <f t="shared" si="7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f>70000+110000</f>
        <v>180000</v>
      </c>
      <c r="J13" s="5">
        <v>5335</v>
      </c>
      <c r="K13" s="15">
        <f>L13+5056+5299+5142+4725+5285+5308+3502+5153+5075+5268+5338+5267+5184+5110+5267+5309+13944+5077+5113+5283+5335+5351+3987+5016+5288+5339+5296</f>
        <v>151652</v>
      </c>
      <c r="L13" s="15">
        <f>2661+2674</f>
        <v>5335</v>
      </c>
      <c r="M13" s="15">
        <f t="shared" si="0"/>
        <v>5335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0.42970408101388635</v>
      </c>
      <c r="AF13" s="81">
        <f t="shared" si="7"/>
        <v>7</v>
      </c>
    </row>
    <row r="14" spans="1:32" ht="27" customHeight="1">
      <c r="A14" s="93">
        <v>8</v>
      </c>
      <c r="B14" s="11" t="s">
        <v>57</v>
      </c>
      <c r="C14" s="11" t="s">
        <v>112</v>
      </c>
      <c r="D14" s="52" t="s">
        <v>154</v>
      </c>
      <c r="E14" s="53" t="s">
        <v>486</v>
      </c>
      <c r="F14" s="30" t="s">
        <v>123</v>
      </c>
      <c r="G14" s="33">
        <v>1</v>
      </c>
      <c r="H14" s="35">
        <v>22</v>
      </c>
      <c r="I14" s="7">
        <v>32000</v>
      </c>
      <c r="J14" s="14">
        <v>5812</v>
      </c>
      <c r="K14" s="15">
        <f>L14+6014+6382+6362+5997+6082+6286+5812</f>
        <v>42935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0.42970408101388635</v>
      </c>
      <c r="AF14" s="81">
        <f t="shared" si="7"/>
        <v>8</v>
      </c>
    </row>
    <row r="15" spans="1:32" ht="27" customHeight="1">
      <c r="A15" s="100">
        <v>9</v>
      </c>
      <c r="B15" s="11" t="s">
        <v>57</v>
      </c>
      <c r="C15" s="34" t="s">
        <v>112</v>
      </c>
      <c r="D15" s="52" t="s">
        <v>115</v>
      </c>
      <c r="E15" s="53" t="s">
        <v>639</v>
      </c>
      <c r="F15" s="30" t="s">
        <v>647</v>
      </c>
      <c r="G15" s="33">
        <v>1</v>
      </c>
      <c r="H15" s="35">
        <v>50</v>
      </c>
      <c r="I15" s="7">
        <v>300</v>
      </c>
      <c r="J15" s="5">
        <v>6132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0.42970408101388635</v>
      </c>
      <c r="AF15" s="81">
        <f t="shared" si="7"/>
        <v>9</v>
      </c>
    </row>
    <row r="16" spans="1:32" ht="27" customHeight="1">
      <c r="A16" s="107">
        <v>10</v>
      </c>
      <c r="B16" s="11" t="s">
        <v>57</v>
      </c>
      <c r="C16" s="34" t="s">
        <v>112</v>
      </c>
      <c r="D16" s="52" t="s">
        <v>146</v>
      </c>
      <c r="E16" s="53" t="s">
        <v>610</v>
      </c>
      <c r="F16" s="30" t="s">
        <v>148</v>
      </c>
      <c r="G16" s="12">
        <v>1</v>
      </c>
      <c r="H16" s="13">
        <v>24</v>
      </c>
      <c r="I16" s="31">
        <v>3300</v>
      </c>
      <c r="J16" s="14">
        <v>4832</v>
      </c>
      <c r="K16" s="15">
        <f>L16+4832</f>
        <v>4832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0.42970408101388635</v>
      </c>
      <c r="AF16" s="81">
        <f t="shared" si="7"/>
        <v>10</v>
      </c>
    </row>
    <row r="17" spans="1:32" ht="27" customHeight="1">
      <c r="A17" s="107">
        <v>11</v>
      </c>
      <c r="B17" s="11" t="s">
        <v>57</v>
      </c>
      <c r="C17" s="34" t="s">
        <v>563</v>
      </c>
      <c r="D17" s="52"/>
      <c r="E17" s="53" t="s">
        <v>659</v>
      </c>
      <c r="F17" s="30" t="s">
        <v>161</v>
      </c>
      <c r="G17" s="12">
        <v>2</v>
      </c>
      <c r="H17" s="13">
        <v>24</v>
      </c>
      <c r="I17" s="7">
        <v>73000</v>
      </c>
      <c r="J17" s="14">
        <v>12188</v>
      </c>
      <c r="K17" s="15">
        <f>L17+10730+9070+9850</f>
        <v>41838</v>
      </c>
      <c r="L17" s="15">
        <f>3053*2+3041*2</f>
        <v>12188</v>
      </c>
      <c r="M17" s="15">
        <f t="shared" si="0"/>
        <v>12188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0.42970408101388635</v>
      </c>
      <c r="AF17" s="81">
        <f t="shared" si="7"/>
        <v>11</v>
      </c>
    </row>
    <row r="18" spans="1:32" ht="27" customHeight="1">
      <c r="A18" s="107">
        <v>12</v>
      </c>
      <c r="B18" s="11" t="s">
        <v>57</v>
      </c>
      <c r="C18" s="34" t="s">
        <v>129</v>
      </c>
      <c r="D18" s="52" t="s">
        <v>131</v>
      </c>
      <c r="E18" s="53" t="s">
        <v>392</v>
      </c>
      <c r="F18" s="30" t="s">
        <v>278</v>
      </c>
      <c r="G18" s="12">
        <v>4</v>
      </c>
      <c r="H18" s="13">
        <v>24</v>
      </c>
      <c r="I18" s="7">
        <v>2000</v>
      </c>
      <c r="J18" s="14">
        <v>2404</v>
      </c>
      <c r="K18" s="15">
        <f>L18</f>
        <v>2404</v>
      </c>
      <c r="L18" s="15">
        <f>601*4</f>
        <v>2404</v>
      </c>
      <c r="M18" s="15">
        <f t="shared" si="0"/>
        <v>2404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8"/>
        <v>0.16666666666666666</v>
      </c>
      <c r="AE18" s="36">
        <f t="shared" si="6"/>
        <v>0.42970408101388635</v>
      </c>
      <c r="AF18" s="81">
        <f t="shared" si="7"/>
        <v>12</v>
      </c>
    </row>
    <row r="19" spans="1:32" ht="27" customHeight="1">
      <c r="A19" s="93">
        <v>13</v>
      </c>
      <c r="B19" s="11" t="s">
        <v>57</v>
      </c>
      <c r="C19" s="34" t="s">
        <v>112</v>
      </c>
      <c r="D19" s="52" t="s">
        <v>128</v>
      </c>
      <c r="E19" s="53" t="s">
        <v>735</v>
      </c>
      <c r="F19" s="30" t="s">
        <v>130</v>
      </c>
      <c r="G19" s="12">
        <v>1</v>
      </c>
      <c r="H19" s="13">
        <v>22</v>
      </c>
      <c r="I19" s="31">
        <v>32000</v>
      </c>
      <c r="J19" s="5">
        <v>4487</v>
      </c>
      <c r="K19" s="15">
        <f>L19+3632+827</f>
        <v>8946</v>
      </c>
      <c r="L19" s="15">
        <f>2792+1695</f>
        <v>4487</v>
      </c>
      <c r="M19" s="15">
        <f t="shared" ref="M19" si="9">L19-N19</f>
        <v>4487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20</v>
      </c>
      <c r="Q19" s="40">
        <f t="shared" ref="Q19" si="12">SUM(R19:AA19)</f>
        <v>4</v>
      </c>
      <c r="R19" s="7"/>
      <c r="S19" s="6"/>
      <c r="T19" s="16">
        <v>4</v>
      </c>
      <c r="U19" s="16"/>
      <c r="V19" s="17"/>
      <c r="W19" s="5"/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0.83333333333333337</v>
      </c>
      <c r="AD19" s="10">
        <f t="shared" ref="AD19" si="15">AC19*AB19*(1-O19)</f>
        <v>0.83333333333333337</v>
      </c>
      <c r="AE19" s="36">
        <f t="shared" si="6"/>
        <v>0.42970408101388635</v>
      </c>
      <c r="AF19" s="81">
        <f t="shared" ref="AF19" si="16">A19</f>
        <v>13</v>
      </c>
    </row>
    <row r="20" spans="1:32" ht="27" customHeight="1">
      <c r="A20" s="93">
        <v>14</v>
      </c>
      <c r="B20" s="11" t="s">
        <v>57</v>
      </c>
      <c r="C20" s="11" t="s">
        <v>129</v>
      </c>
      <c r="D20" s="52" t="s">
        <v>115</v>
      </c>
      <c r="E20" s="53" t="s">
        <v>663</v>
      </c>
      <c r="F20" s="30" t="s">
        <v>282</v>
      </c>
      <c r="G20" s="33">
        <v>2</v>
      </c>
      <c r="H20" s="35">
        <v>24</v>
      </c>
      <c r="I20" s="7">
        <v>32000</v>
      </c>
      <c r="J20" s="14">
        <v>6344</v>
      </c>
      <c r="K20" s="15">
        <f>L20+7323</f>
        <v>13667</v>
      </c>
      <c r="L20" s="15">
        <f>1005*2+1794+1270*2</f>
        <v>6344</v>
      </c>
      <c r="M20" s="15">
        <f t="shared" si="0"/>
        <v>6344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8"/>
        <v>0.83333333333333337</v>
      </c>
      <c r="AE20" s="36">
        <f t="shared" si="6"/>
        <v>0.42970408101388635</v>
      </c>
      <c r="AF20" s="81">
        <f t="shared" si="7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115</v>
      </c>
      <c r="E21" s="53" t="s">
        <v>171</v>
      </c>
      <c r="F21" s="30" t="s">
        <v>144</v>
      </c>
      <c r="G21" s="33">
        <v>2</v>
      </c>
      <c r="H21" s="35">
        <v>24</v>
      </c>
      <c r="I21" s="7">
        <v>190000</v>
      </c>
      <c r="J21" s="14">
        <v>7472</v>
      </c>
      <c r="K21" s="15">
        <f>L21+2429</f>
        <v>9901</v>
      </c>
      <c r="L21" s="15">
        <f>2418*2+606+1015*2</f>
        <v>7472</v>
      </c>
      <c r="M21" s="15">
        <f t="shared" si="0"/>
        <v>7472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8"/>
        <v>0.83333333333333337</v>
      </c>
      <c r="AE21" s="36">
        <f t="shared" si="6"/>
        <v>0.42970408101388635</v>
      </c>
      <c r="AF21" s="81">
        <f t="shared" si="7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494</v>
      </c>
      <c r="F22" s="12" t="s">
        <v>114</v>
      </c>
      <c r="G22" s="12">
        <v>4</v>
      </c>
      <c r="H22" s="35">
        <v>20</v>
      </c>
      <c r="I22" s="7">
        <v>2000000</v>
      </c>
      <c r="J22" s="14">
        <v>40364</v>
      </c>
      <c r="K22" s="15">
        <f>L22+34748+57176+64908+60896+57820+63964+64184+45828</f>
        <v>489888</v>
      </c>
      <c r="L22" s="15">
        <f>2259*4+7832*4</f>
        <v>40364</v>
      </c>
      <c r="M22" s="15">
        <f t="shared" si="0"/>
        <v>40364</v>
      </c>
      <c r="N22" s="15">
        <v>0</v>
      </c>
      <c r="O22" s="58">
        <f t="shared" si="1"/>
        <v>0</v>
      </c>
      <c r="P22" s="39">
        <f t="shared" si="2"/>
        <v>18</v>
      </c>
      <c r="Q22" s="40">
        <f t="shared" si="3"/>
        <v>6</v>
      </c>
      <c r="R22" s="7"/>
      <c r="S22" s="6">
        <v>6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0.75</v>
      </c>
      <c r="AD22" s="10">
        <f t="shared" si="8"/>
        <v>0.75</v>
      </c>
      <c r="AE22" s="36">
        <f t="shared" si="6"/>
        <v>0.42970408101388635</v>
      </c>
      <c r="AF22" s="81">
        <f t="shared" si="7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7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0.42970408101388635</v>
      </c>
      <c r="AF23" s="81">
        <f t="shared" si="7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7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0.42970408101388635</v>
      </c>
      <c r="AF24" s="81">
        <f t="shared" si="7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168</v>
      </c>
      <c r="F25" s="12" t="s">
        <v>124</v>
      </c>
      <c r="G25" s="12">
        <v>4</v>
      </c>
      <c r="H25" s="35">
        <v>20</v>
      </c>
      <c r="I25" s="7">
        <v>60000</v>
      </c>
      <c r="J25" s="14">
        <v>28124</v>
      </c>
      <c r="K25" s="15">
        <f>L25+23172+28124+27392</f>
        <v>78688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15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0.42970408101388635</v>
      </c>
      <c r="AF25" s="81">
        <f t="shared" si="7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798</v>
      </c>
      <c r="F26" s="12" t="s">
        <v>125</v>
      </c>
      <c r="G26" s="12">
        <v>4</v>
      </c>
      <c r="H26" s="35">
        <v>20</v>
      </c>
      <c r="I26" s="7">
        <v>26000</v>
      </c>
      <c r="J26" s="14">
        <v>26768</v>
      </c>
      <c r="K26" s="15">
        <f>L26</f>
        <v>13760</v>
      </c>
      <c r="L26" s="15">
        <f>3440*4</f>
        <v>13760</v>
      </c>
      <c r="M26" s="15">
        <f t="shared" si="0"/>
        <v>13760</v>
      </c>
      <c r="N26" s="15">
        <v>0</v>
      </c>
      <c r="O26" s="58">
        <f t="shared" si="1"/>
        <v>0</v>
      </c>
      <c r="P26" s="39">
        <f t="shared" si="2"/>
        <v>14</v>
      </c>
      <c r="Q26" s="40">
        <f t="shared" si="3"/>
        <v>10</v>
      </c>
      <c r="R26" s="7"/>
      <c r="S26" s="6">
        <v>10</v>
      </c>
      <c r="T26" s="16"/>
      <c r="U26" s="16"/>
      <c r="V26" s="115"/>
      <c r="W26" s="5"/>
      <c r="X26" s="16"/>
      <c r="Y26" s="16"/>
      <c r="Z26" s="16"/>
      <c r="AA26" s="18"/>
      <c r="AB26" s="8">
        <f t="shared" si="4"/>
        <v>0.51404662283323366</v>
      </c>
      <c r="AC26" s="9">
        <f t="shared" si="5"/>
        <v>0.58333333333333337</v>
      </c>
      <c r="AD26" s="10">
        <f t="shared" si="8"/>
        <v>0.299860529986053</v>
      </c>
      <c r="AE26" s="36">
        <f t="shared" si="6"/>
        <v>0.42970408101388635</v>
      </c>
      <c r="AF26" s="81">
        <f t="shared" si="7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60000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0.42970408101388635</v>
      </c>
      <c r="AF27" s="81">
        <f t="shared" si="7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169</v>
      </c>
      <c r="F28" s="12" t="s">
        <v>144</v>
      </c>
      <c r="G28" s="12">
        <v>4</v>
      </c>
      <c r="H28" s="35">
        <v>20</v>
      </c>
      <c r="I28" s="7">
        <v>60000</v>
      </c>
      <c r="J28" s="14">
        <v>26192</v>
      </c>
      <c r="K28" s="15">
        <f>L28+20088+26192+24640</f>
        <v>70920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15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8"/>
        <v>0</v>
      </c>
      <c r="AE28" s="36">
        <f t="shared" si="6"/>
        <v>0.42970408101388635</v>
      </c>
      <c r="AF28" s="81">
        <f t="shared" si="7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8">SUM(I6:I28)</f>
        <v>3121900</v>
      </c>
      <c r="J29" s="19">
        <f t="shared" si="18"/>
        <v>242840</v>
      </c>
      <c r="K29" s="20">
        <f t="shared" si="18"/>
        <v>1181281</v>
      </c>
      <c r="L29" s="21">
        <f t="shared" si="18"/>
        <v>131796</v>
      </c>
      <c r="M29" s="20">
        <f t="shared" si="18"/>
        <v>131796</v>
      </c>
      <c r="N29" s="21">
        <f t="shared" si="18"/>
        <v>0</v>
      </c>
      <c r="O29" s="41">
        <f t="shared" si="1"/>
        <v>0</v>
      </c>
      <c r="P29" s="42">
        <f t="shared" ref="P29:AA29" si="19">SUM(P6:P28)</f>
        <v>244</v>
      </c>
      <c r="Q29" s="43">
        <f t="shared" si="19"/>
        <v>308</v>
      </c>
      <c r="R29" s="23">
        <f t="shared" si="19"/>
        <v>0</v>
      </c>
      <c r="S29" s="24">
        <f t="shared" si="19"/>
        <v>48</v>
      </c>
      <c r="T29" s="24">
        <f t="shared" si="19"/>
        <v>4</v>
      </c>
      <c r="U29" s="24">
        <f t="shared" si="19"/>
        <v>0</v>
      </c>
      <c r="V29" s="25">
        <f t="shared" si="19"/>
        <v>31</v>
      </c>
      <c r="W29" s="26">
        <f t="shared" si="19"/>
        <v>201</v>
      </c>
      <c r="X29" s="27">
        <f t="shared" si="19"/>
        <v>0</v>
      </c>
      <c r="Y29" s="27">
        <f t="shared" si="19"/>
        <v>0</v>
      </c>
      <c r="Z29" s="27">
        <f t="shared" si="19"/>
        <v>0</v>
      </c>
      <c r="AA29" s="27">
        <f t="shared" si="19"/>
        <v>24</v>
      </c>
      <c r="AB29" s="28">
        <f>AVERAGE(AB6:AB28)</f>
        <v>0.69114507727777308</v>
      </c>
      <c r="AC29" s="4">
        <f>AVERAGE(AC6:AC28)</f>
        <v>0.44202898550724645</v>
      </c>
      <c r="AD29" s="4">
        <f>AVERAGE(AD6:AD28)</f>
        <v>0.42970408101388635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799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808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329" t="s">
        <v>46</v>
      </c>
      <c r="D58" s="329" t="s">
        <v>47</v>
      </c>
      <c r="E58" s="329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329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331" t="s">
        <v>253</v>
      </c>
      <c r="D59" s="331" t="s">
        <v>128</v>
      </c>
      <c r="E59" s="331" t="s">
        <v>735</v>
      </c>
      <c r="F59" s="412" t="s">
        <v>800</v>
      </c>
      <c r="G59" s="413"/>
      <c r="H59" s="413"/>
      <c r="I59" s="413"/>
      <c r="J59" s="413"/>
      <c r="K59" s="413"/>
      <c r="L59" s="413"/>
      <c r="M59" s="414"/>
      <c r="N59" s="330" t="s">
        <v>809</v>
      </c>
      <c r="O59" s="337" t="s">
        <v>810</v>
      </c>
      <c r="P59" s="415" t="s">
        <v>801</v>
      </c>
      <c r="Q59" s="416"/>
      <c r="R59" s="415" t="s">
        <v>811</v>
      </c>
      <c r="S59" s="417"/>
      <c r="T59" s="417"/>
      <c r="U59" s="416"/>
      <c r="V59" s="412" t="s">
        <v>122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173</v>
      </c>
      <c r="B60" s="411"/>
      <c r="C60" s="331" t="s">
        <v>152</v>
      </c>
      <c r="D60" s="331" t="s">
        <v>801</v>
      </c>
      <c r="E60" s="331" t="s">
        <v>761</v>
      </c>
      <c r="F60" s="412" t="s">
        <v>122</v>
      </c>
      <c r="G60" s="413"/>
      <c r="H60" s="413"/>
      <c r="I60" s="413"/>
      <c r="J60" s="413"/>
      <c r="K60" s="413"/>
      <c r="L60" s="413"/>
      <c r="M60" s="414"/>
      <c r="N60" s="330" t="s">
        <v>112</v>
      </c>
      <c r="O60" s="337" t="s">
        <v>150</v>
      </c>
      <c r="P60" s="415" t="s">
        <v>115</v>
      </c>
      <c r="Q60" s="416"/>
      <c r="R60" s="415" t="s">
        <v>639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129</v>
      </c>
      <c r="B61" s="411"/>
      <c r="C61" s="331" t="s">
        <v>185</v>
      </c>
      <c r="D61" s="331" t="s">
        <v>121</v>
      </c>
      <c r="E61" s="331" t="s">
        <v>802</v>
      </c>
      <c r="F61" s="412" t="s">
        <v>122</v>
      </c>
      <c r="G61" s="413"/>
      <c r="H61" s="413"/>
      <c r="I61" s="413"/>
      <c r="J61" s="413"/>
      <c r="K61" s="413"/>
      <c r="L61" s="413"/>
      <c r="M61" s="414"/>
      <c r="N61" s="330" t="s">
        <v>129</v>
      </c>
      <c r="O61" s="337" t="s">
        <v>805</v>
      </c>
      <c r="P61" s="415" t="s">
        <v>131</v>
      </c>
      <c r="Q61" s="416"/>
      <c r="R61" s="415" t="s">
        <v>812</v>
      </c>
      <c r="S61" s="417"/>
      <c r="T61" s="417"/>
      <c r="U61" s="416"/>
      <c r="V61" s="412" t="s">
        <v>122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331" t="s">
        <v>185</v>
      </c>
      <c r="D62" s="331" t="s">
        <v>115</v>
      </c>
      <c r="E62" s="331" t="s">
        <v>326</v>
      </c>
      <c r="F62" s="412" t="s">
        <v>149</v>
      </c>
      <c r="G62" s="413"/>
      <c r="H62" s="413"/>
      <c r="I62" s="413"/>
      <c r="J62" s="413"/>
      <c r="K62" s="413"/>
      <c r="L62" s="413"/>
      <c r="M62" s="414"/>
      <c r="N62" s="330" t="s">
        <v>112</v>
      </c>
      <c r="O62" s="337" t="s">
        <v>151</v>
      </c>
      <c r="P62" s="415" t="s">
        <v>115</v>
      </c>
      <c r="Q62" s="416"/>
      <c r="R62" s="415" t="s">
        <v>667</v>
      </c>
      <c r="S62" s="417"/>
      <c r="T62" s="417"/>
      <c r="U62" s="416"/>
      <c r="V62" s="412" t="s">
        <v>220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331" t="s">
        <v>151</v>
      </c>
      <c r="D63" s="331" t="s">
        <v>115</v>
      </c>
      <c r="E63" s="331" t="s">
        <v>208</v>
      </c>
      <c r="F63" s="412" t="s">
        <v>803</v>
      </c>
      <c r="G63" s="413"/>
      <c r="H63" s="413"/>
      <c r="I63" s="413"/>
      <c r="J63" s="413"/>
      <c r="K63" s="413"/>
      <c r="L63" s="413"/>
      <c r="M63" s="414"/>
      <c r="N63" s="330" t="s">
        <v>112</v>
      </c>
      <c r="O63" s="337" t="s">
        <v>151</v>
      </c>
      <c r="P63" s="415" t="s">
        <v>115</v>
      </c>
      <c r="Q63" s="416"/>
      <c r="R63" s="415" t="s">
        <v>813</v>
      </c>
      <c r="S63" s="417"/>
      <c r="T63" s="417"/>
      <c r="U63" s="416"/>
      <c r="V63" s="412" t="s">
        <v>220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112</v>
      </c>
      <c r="B64" s="411"/>
      <c r="C64" s="331" t="s">
        <v>223</v>
      </c>
      <c r="D64" s="331" t="s">
        <v>115</v>
      </c>
      <c r="E64" s="331" t="s">
        <v>171</v>
      </c>
      <c r="F64" s="412" t="s">
        <v>220</v>
      </c>
      <c r="G64" s="413"/>
      <c r="H64" s="413"/>
      <c r="I64" s="413"/>
      <c r="J64" s="413"/>
      <c r="K64" s="413"/>
      <c r="L64" s="413"/>
      <c r="M64" s="414"/>
      <c r="N64" s="330" t="s">
        <v>809</v>
      </c>
      <c r="O64" s="337" t="s">
        <v>815</v>
      </c>
      <c r="P64" s="415" t="s">
        <v>115</v>
      </c>
      <c r="Q64" s="416"/>
      <c r="R64" s="415" t="s">
        <v>814</v>
      </c>
      <c r="S64" s="417"/>
      <c r="T64" s="417"/>
      <c r="U64" s="416"/>
      <c r="V64" s="412" t="s">
        <v>122</v>
      </c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129</v>
      </c>
      <c r="B65" s="411"/>
      <c r="C65" s="331" t="s">
        <v>262</v>
      </c>
      <c r="D65" s="331" t="s">
        <v>115</v>
      </c>
      <c r="E65" s="331" t="s">
        <v>663</v>
      </c>
      <c r="F65" s="412" t="s">
        <v>804</v>
      </c>
      <c r="G65" s="413"/>
      <c r="H65" s="413"/>
      <c r="I65" s="413"/>
      <c r="J65" s="413"/>
      <c r="K65" s="413"/>
      <c r="L65" s="413"/>
      <c r="M65" s="414"/>
      <c r="N65" s="330"/>
      <c r="O65" s="337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 t="s">
        <v>129</v>
      </c>
      <c r="B66" s="427"/>
      <c r="C66" s="334" t="s">
        <v>805</v>
      </c>
      <c r="D66" s="334" t="s">
        <v>806</v>
      </c>
      <c r="E66" s="331" t="s">
        <v>807</v>
      </c>
      <c r="F66" s="412" t="s">
        <v>122</v>
      </c>
      <c r="G66" s="413"/>
      <c r="H66" s="413"/>
      <c r="I66" s="413"/>
      <c r="J66" s="413"/>
      <c r="K66" s="413"/>
      <c r="L66" s="413"/>
      <c r="M66" s="414"/>
      <c r="N66" s="330"/>
      <c r="O66" s="337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 t="s">
        <v>809</v>
      </c>
      <c r="B67" s="427"/>
      <c r="C67" s="334" t="s">
        <v>816</v>
      </c>
      <c r="D67" s="334" t="s">
        <v>806</v>
      </c>
      <c r="E67" s="331" t="s">
        <v>817</v>
      </c>
      <c r="F67" s="412" t="s">
        <v>122</v>
      </c>
      <c r="G67" s="413"/>
      <c r="H67" s="413"/>
      <c r="I67" s="413"/>
      <c r="J67" s="413"/>
      <c r="K67" s="413"/>
      <c r="L67" s="413"/>
      <c r="M67" s="414"/>
      <c r="N67" s="330"/>
      <c r="O67" s="337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332"/>
      <c r="D68" s="333"/>
      <c r="E68" s="332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818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335" t="s">
        <v>2</v>
      </c>
      <c r="D70" s="335" t="s">
        <v>37</v>
      </c>
      <c r="E70" s="335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335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820</v>
      </c>
      <c r="D71" s="339"/>
      <c r="E71" s="336" t="s">
        <v>821</v>
      </c>
      <c r="F71" s="437" t="s">
        <v>819</v>
      </c>
      <c r="G71" s="438"/>
      <c r="H71" s="438"/>
      <c r="I71" s="438"/>
      <c r="J71" s="438"/>
      <c r="K71" s="438" t="s">
        <v>822</v>
      </c>
      <c r="L71" s="438"/>
      <c r="M71" s="51" t="s">
        <v>823</v>
      </c>
      <c r="N71" s="439" t="s">
        <v>824</v>
      </c>
      <c r="O71" s="439"/>
      <c r="P71" s="440">
        <v>200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820</v>
      </c>
      <c r="D72" s="339"/>
      <c r="E72" s="336"/>
      <c r="F72" s="437" t="s">
        <v>825</v>
      </c>
      <c r="G72" s="438"/>
      <c r="H72" s="438"/>
      <c r="I72" s="438"/>
      <c r="J72" s="438"/>
      <c r="K72" s="438" t="s">
        <v>826</v>
      </c>
      <c r="L72" s="438"/>
      <c r="M72" s="51" t="s">
        <v>827</v>
      </c>
      <c r="N72" s="439" t="s">
        <v>828</v>
      </c>
      <c r="O72" s="439"/>
      <c r="P72" s="440">
        <v>50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820</v>
      </c>
      <c r="D73" s="339"/>
      <c r="E73" s="336"/>
      <c r="F73" s="437" t="s">
        <v>829</v>
      </c>
      <c r="G73" s="438"/>
      <c r="H73" s="438"/>
      <c r="I73" s="438"/>
      <c r="J73" s="438"/>
      <c r="K73" s="438" t="s">
        <v>826</v>
      </c>
      <c r="L73" s="438"/>
      <c r="M73" s="51" t="s">
        <v>827</v>
      </c>
      <c r="N73" s="439" t="s">
        <v>828</v>
      </c>
      <c r="O73" s="439"/>
      <c r="P73" s="440">
        <v>50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 t="s">
        <v>820</v>
      </c>
      <c r="D74" s="339"/>
      <c r="E74" s="336" t="s">
        <v>832</v>
      </c>
      <c r="F74" s="443" t="s">
        <v>830</v>
      </c>
      <c r="G74" s="444"/>
      <c r="H74" s="444"/>
      <c r="I74" s="444"/>
      <c r="J74" s="445"/>
      <c r="K74" s="438">
        <v>8301</v>
      </c>
      <c r="L74" s="438"/>
      <c r="M74" s="51" t="s">
        <v>823</v>
      </c>
      <c r="N74" s="439" t="s">
        <v>831</v>
      </c>
      <c r="O74" s="439"/>
      <c r="P74" s="440">
        <v>200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 t="s">
        <v>809</v>
      </c>
      <c r="D75" s="339"/>
      <c r="E75" s="336" t="s">
        <v>801</v>
      </c>
      <c r="F75" s="443" t="s">
        <v>833</v>
      </c>
      <c r="G75" s="444"/>
      <c r="H75" s="444"/>
      <c r="I75" s="444"/>
      <c r="J75" s="445"/>
      <c r="K75" s="438" t="s">
        <v>834</v>
      </c>
      <c r="L75" s="438"/>
      <c r="M75" s="51" t="s">
        <v>823</v>
      </c>
      <c r="N75" s="439" t="s">
        <v>831</v>
      </c>
      <c r="O75" s="439"/>
      <c r="P75" s="440">
        <v>40</v>
      </c>
      <c r="Q75" s="440"/>
      <c r="R75" s="441" t="s">
        <v>835</v>
      </c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 t="s">
        <v>820</v>
      </c>
      <c r="D76" s="339"/>
      <c r="E76" s="336" t="s">
        <v>806</v>
      </c>
      <c r="F76" s="443" t="s">
        <v>836</v>
      </c>
      <c r="G76" s="444"/>
      <c r="H76" s="444"/>
      <c r="I76" s="444"/>
      <c r="J76" s="445"/>
      <c r="K76" s="438" t="s">
        <v>837</v>
      </c>
      <c r="L76" s="438"/>
      <c r="M76" s="51" t="s">
        <v>827</v>
      </c>
      <c r="N76" s="439" t="s">
        <v>805</v>
      </c>
      <c r="O76" s="439"/>
      <c r="P76" s="440">
        <v>100</v>
      </c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339"/>
      <c r="E77" s="336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339"/>
      <c r="E78" s="336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339"/>
      <c r="E79" s="336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339"/>
      <c r="E80" s="336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838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338" t="s">
        <v>2</v>
      </c>
      <c r="D82" s="338" t="s">
        <v>37</v>
      </c>
      <c r="E82" s="338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340"/>
      <c r="D83" s="340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339"/>
      <c r="D84" s="339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20">A84+1</f>
        <v>3</v>
      </c>
      <c r="B85" s="455"/>
      <c r="C85" s="339"/>
      <c r="D85" s="339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20"/>
        <v>4</v>
      </c>
      <c r="B86" s="455"/>
      <c r="C86" s="339"/>
      <c r="D86" s="339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20"/>
        <v>5</v>
      </c>
      <c r="B87" s="455"/>
      <c r="C87" s="339"/>
      <c r="D87" s="339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20"/>
        <v>6</v>
      </c>
      <c r="B88" s="455"/>
      <c r="C88" s="339"/>
      <c r="D88" s="339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20"/>
        <v>7</v>
      </c>
      <c r="B89" s="455"/>
      <c r="C89" s="339"/>
      <c r="D89" s="339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839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1EB3-4341-4B57-B54E-FC2CB75BBEE2}">
  <sheetPr>
    <pageSetUpPr fitToPage="1"/>
  </sheetPr>
  <dimension ref="A1:AF93"/>
  <sheetViews>
    <sheetView view="pageBreakPreview" topLeftCell="A55" zoomScale="70" zoomScaleNormal="72" zoomScaleSheetLayoutView="70" workbookViewId="0">
      <selection activeCell="K9" sqref="K9:L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840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146</v>
      </c>
      <c r="E6" s="53" t="s">
        <v>811</v>
      </c>
      <c r="F6" s="30" t="s">
        <v>570</v>
      </c>
      <c r="G6" s="12">
        <v>1</v>
      </c>
      <c r="H6" s="13">
        <v>24</v>
      </c>
      <c r="I6" s="31">
        <v>1000</v>
      </c>
      <c r="J6" s="14">
        <v>1590</v>
      </c>
      <c r="K6" s="15">
        <f>L6</f>
        <v>0</v>
      </c>
      <c r="L6" s="15">
        <f>0</f>
        <v>0</v>
      </c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>
        <v>24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>AC6*AB6*(1-O6)</f>
        <v>0</v>
      </c>
      <c r="AE6" s="36">
        <f t="shared" ref="AE6:AE27" si="6">$AD$28</f>
        <v>0.58224495460962045</v>
      </c>
      <c r="AF6" s="81">
        <f t="shared" ref="AF6:AF27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1</v>
      </c>
      <c r="H7" s="13">
        <v>24</v>
      </c>
      <c r="I7" s="31">
        <v>190000</v>
      </c>
      <c r="J7" s="14">
        <v>10872</v>
      </c>
      <c r="K7" s="15">
        <f>L7+8898+11520+11558+11486+11566</f>
        <v>65900</v>
      </c>
      <c r="L7" s="15">
        <f>2881*2+2555*2</f>
        <v>10872</v>
      </c>
      <c r="M7" s="15">
        <f t="shared" si="0"/>
        <v>10872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0.58224495460962045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813</v>
      </c>
      <c r="F8" s="30" t="s">
        <v>209</v>
      </c>
      <c r="G8" s="12">
        <v>1</v>
      </c>
      <c r="H8" s="13">
        <v>22</v>
      </c>
      <c r="I8" s="31">
        <v>200</v>
      </c>
      <c r="J8" s="5">
        <v>269</v>
      </c>
      <c r="K8" s="15">
        <f>L8</f>
        <v>269</v>
      </c>
      <c r="L8" s="15">
        <v>269</v>
      </c>
      <c r="M8" s="15">
        <f t="shared" si="0"/>
        <v>269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>
        <v>20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8"/>
        <v>0.16666666666666666</v>
      </c>
      <c r="AE8" s="36">
        <f t="shared" si="6"/>
        <v>0.58224495460962045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563</v>
      </c>
      <c r="D9" s="52"/>
      <c r="E9" s="53" t="s">
        <v>646</v>
      </c>
      <c r="F9" s="30" t="s">
        <v>161</v>
      </c>
      <c r="G9" s="12">
        <v>2</v>
      </c>
      <c r="H9" s="13">
        <v>24</v>
      </c>
      <c r="I9" s="7">
        <v>73000</v>
      </c>
      <c r="J9" s="14">
        <v>10862</v>
      </c>
      <c r="K9" s="15">
        <f>L9+7548+11534+11630+11548+11636</f>
        <v>62235</v>
      </c>
      <c r="L9" s="15">
        <f>2908*2+2523</f>
        <v>8339</v>
      </c>
      <c r="M9" s="15">
        <f t="shared" si="0"/>
        <v>8339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0.76772233474498253</v>
      </c>
      <c r="AC9" s="9">
        <f t="shared" si="5"/>
        <v>1</v>
      </c>
      <c r="AD9" s="10">
        <f t="shared" si="8"/>
        <v>0.76772233474498253</v>
      </c>
      <c r="AE9" s="36">
        <f t="shared" si="6"/>
        <v>0.58224495460962045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563</v>
      </c>
      <c r="D10" s="52"/>
      <c r="E10" s="53" t="s">
        <v>608</v>
      </c>
      <c r="F10" s="30" t="s">
        <v>282</v>
      </c>
      <c r="G10" s="33">
        <v>2</v>
      </c>
      <c r="H10" s="35">
        <v>24</v>
      </c>
      <c r="I10" s="7">
        <v>73000</v>
      </c>
      <c r="J10" s="14">
        <v>10440</v>
      </c>
      <c r="K10" s="15">
        <f>L10+8462+9820+9820+10676+11024+11102</f>
        <v>71344</v>
      </c>
      <c r="L10" s="15">
        <f>2766*2+2454*2</f>
        <v>10440</v>
      </c>
      <c r="M10" s="15">
        <f t="shared" si="0"/>
        <v>10440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8"/>
        <v>1</v>
      </c>
      <c r="AE10" s="36">
        <f t="shared" si="6"/>
        <v>0.58224495460962045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121</v>
      </c>
      <c r="E11" s="53" t="s">
        <v>841</v>
      </c>
      <c r="F11" s="30" t="s">
        <v>124</v>
      </c>
      <c r="G11" s="33">
        <v>1</v>
      </c>
      <c r="H11" s="35">
        <v>24</v>
      </c>
      <c r="I11" s="7">
        <v>1000</v>
      </c>
      <c r="J11" s="14">
        <v>2219</v>
      </c>
      <c r="K11" s="15">
        <f>L11</f>
        <v>2219</v>
      </c>
      <c r="L11" s="15">
        <f>431+1788</f>
        <v>2219</v>
      </c>
      <c r="M11" s="15">
        <f t="shared" si="0"/>
        <v>2219</v>
      </c>
      <c r="N11" s="15">
        <v>0</v>
      </c>
      <c r="O11" s="58">
        <f t="shared" si="1"/>
        <v>0</v>
      </c>
      <c r="P11" s="39">
        <f t="shared" si="2"/>
        <v>14</v>
      </c>
      <c r="Q11" s="40">
        <f t="shared" si="3"/>
        <v>10</v>
      </c>
      <c r="R11" s="7"/>
      <c r="S11" s="6"/>
      <c r="T11" s="16"/>
      <c r="U11" s="16"/>
      <c r="V11" s="17"/>
      <c r="W11" s="5">
        <v>3</v>
      </c>
      <c r="X11" s="16"/>
      <c r="Y11" s="16"/>
      <c r="Z11" s="16"/>
      <c r="AA11" s="18">
        <v>7</v>
      </c>
      <c r="AB11" s="8">
        <f t="shared" si="4"/>
        <v>1</v>
      </c>
      <c r="AC11" s="9">
        <f t="shared" si="5"/>
        <v>0.58333333333333337</v>
      </c>
      <c r="AD11" s="10">
        <f t="shared" si="8"/>
        <v>0.58333333333333337</v>
      </c>
      <c r="AE11" s="36">
        <f t="shared" si="6"/>
        <v>0.58224495460962045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4973</v>
      </c>
      <c r="K12" s="15">
        <f>L12+5056+5299+5142+4725+5285+5308+3502+5153+5075+5268+5338+5267+5184+5110+5267+5309+13944+5077+5113+5283+5335+5351+3987+5016+5288+5339+5296+5335</f>
        <v>156625</v>
      </c>
      <c r="L12" s="15">
        <f>2660+2313</f>
        <v>4973</v>
      </c>
      <c r="M12" s="15">
        <f t="shared" si="0"/>
        <v>4973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8"/>
        <v>1</v>
      </c>
      <c r="AE12" s="36">
        <f t="shared" si="6"/>
        <v>0.58224495460962045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116</v>
      </c>
      <c r="D13" s="52" t="s">
        <v>842</v>
      </c>
      <c r="E13" s="53" t="s">
        <v>843</v>
      </c>
      <c r="F13" s="30" t="s">
        <v>141</v>
      </c>
      <c r="G13" s="33">
        <v>1</v>
      </c>
      <c r="H13" s="35">
        <v>22</v>
      </c>
      <c r="I13" s="7">
        <v>3000</v>
      </c>
      <c r="J13" s="14">
        <v>4261</v>
      </c>
      <c r="K13" s="15">
        <f>L13</f>
        <v>4261</v>
      </c>
      <c r="L13" s="15">
        <f>2258+2003</f>
        <v>4261</v>
      </c>
      <c r="M13" s="15">
        <f t="shared" si="0"/>
        <v>4261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8"/>
        <v>0.875</v>
      </c>
      <c r="AE13" s="36">
        <f t="shared" si="6"/>
        <v>0.58224495460962045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639</v>
      </c>
      <c r="F14" s="30" t="s">
        <v>647</v>
      </c>
      <c r="G14" s="33">
        <v>1</v>
      </c>
      <c r="H14" s="35">
        <v>50</v>
      </c>
      <c r="I14" s="7">
        <v>300</v>
      </c>
      <c r="J14" s="5">
        <v>6132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0.58224495460962045</v>
      </c>
      <c r="AF14" s="81">
        <f t="shared" si="7"/>
        <v>9</v>
      </c>
    </row>
    <row r="15" spans="1:32" ht="27" customHeight="1">
      <c r="A15" s="107">
        <v>10</v>
      </c>
      <c r="B15" s="11" t="s">
        <v>57</v>
      </c>
      <c r="C15" s="34" t="s">
        <v>112</v>
      </c>
      <c r="D15" s="52" t="s">
        <v>146</v>
      </c>
      <c r="E15" s="53" t="s">
        <v>610</v>
      </c>
      <c r="F15" s="30" t="s">
        <v>148</v>
      </c>
      <c r="G15" s="12">
        <v>1</v>
      </c>
      <c r="H15" s="13">
        <v>24</v>
      </c>
      <c r="I15" s="31">
        <v>3300</v>
      </c>
      <c r="J15" s="14">
        <v>4832</v>
      </c>
      <c r="K15" s="15">
        <f>L15+4832</f>
        <v>4832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0.58224495460962045</v>
      </c>
      <c r="AF15" s="81">
        <f t="shared" si="7"/>
        <v>10</v>
      </c>
    </row>
    <row r="16" spans="1:32" ht="27" customHeight="1">
      <c r="A16" s="107">
        <v>11</v>
      </c>
      <c r="B16" s="11" t="s">
        <v>57</v>
      </c>
      <c r="C16" s="34" t="s">
        <v>563</v>
      </c>
      <c r="D16" s="52"/>
      <c r="E16" s="53" t="s">
        <v>659</v>
      </c>
      <c r="F16" s="30" t="s">
        <v>161</v>
      </c>
      <c r="G16" s="12">
        <v>2</v>
      </c>
      <c r="H16" s="13">
        <v>24</v>
      </c>
      <c r="I16" s="7">
        <v>73000</v>
      </c>
      <c r="J16" s="14">
        <v>10512</v>
      </c>
      <c r="K16" s="15">
        <f>L16+10730+9070+9850+12188</f>
        <v>52350</v>
      </c>
      <c r="L16" s="15">
        <f>2668*2+2588*2</f>
        <v>10512</v>
      </c>
      <c r="M16" s="15">
        <f t="shared" si="0"/>
        <v>10512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8"/>
        <v>1</v>
      </c>
      <c r="AE16" s="36">
        <f t="shared" si="6"/>
        <v>0.58224495460962045</v>
      </c>
      <c r="AF16" s="81">
        <f t="shared" si="7"/>
        <v>11</v>
      </c>
    </row>
    <row r="17" spans="1:32" ht="27" customHeight="1">
      <c r="A17" s="107">
        <v>12</v>
      </c>
      <c r="B17" s="11" t="s">
        <v>57</v>
      </c>
      <c r="C17" s="34" t="s">
        <v>129</v>
      </c>
      <c r="D17" s="52" t="s">
        <v>131</v>
      </c>
      <c r="E17" s="53" t="s">
        <v>812</v>
      </c>
      <c r="F17" s="30" t="s">
        <v>278</v>
      </c>
      <c r="G17" s="12">
        <v>4</v>
      </c>
      <c r="H17" s="13">
        <v>24</v>
      </c>
      <c r="I17" s="7">
        <v>30000</v>
      </c>
      <c r="J17" s="14">
        <v>19916</v>
      </c>
      <c r="K17" s="15">
        <f>L17</f>
        <v>19916</v>
      </c>
      <c r="L17" s="15">
        <f>2435*4+2544*4</f>
        <v>19916</v>
      </c>
      <c r="M17" s="15">
        <f t="shared" si="0"/>
        <v>19916</v>
      </c>
      <c r="N17" s="15">
        <v>0</v>
      </c>
      <c r="O17" s="58">
        <f t="shared" si="1"/>
        <v>0</v>
      </c>
      <c r="P17" s="39">
        <f t="shared" si="2"/>
        <v>23</v>
      </c>
      <c r="Q17" s="40">
        <f t="shared" si="3"/>
        <v>1</v>
      </c>
      <c r="R17" s="7"/>
      <c r="S17" s="6"/>
      <c r="T17" s="16">
        <v>1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0.95833333333333337</v>
      </c>
      <c r="AD17" s="10">
        <f t="shared" si="8"/>
        <v>0.95833333333333337</v>
      </c>
      <c r="AE17" s="36">
        <f t="shared" si="6"/>
        <v>0.58224495460962045</v>
      </c>
      <c r="AF17" s="81">
        <f t="shared" si="7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128</v>
      </c>
      <c r="E18" s="53" t="s">
        <v>735</v>
      </c>
      <c r="F18" s="30" t="s">
        <v>130</v>
      </c>
      <c r="G18" s="12">
        <v>1</v>
      </c>
      <c r="H18" s="13">
        <v>22</v>
      </c>
      <c r="I18" s="31">
        <v>32000</v>
      </c>
      <c r="J18" s="5">
        <v>5186</v>
      </c>
      <c r="K18" s="15">
        <f>L18+3632+827+4487</f>
        <v>14132</v>
      </c>
      <c r="L18" s="15">
        <f>2384+2802</f>
        <v>5186</v>
      </c>
      <c r="M18" s="15">
        <f t="shared" si="0"/>
        <v>5186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0.58224495460962045</v>
      </c>
      <c r="AF18" s="81">
        <f t="shared" si="7"/>
        <v>13</v>
      </c>
    </row>
    <row r="19" spans="1:32" ht="27" customHeight="1">
      <c r="A19" s="93">
        <v>14</v>
      </c>
      <c r="B19" s="11" t="s">
        <v>57</v>
      </c>
      <c r="C19" s="11" t="s">
        <v>129</v>
      </c>
      <c r="D19" s="52" t="s">
        <v>115</v>
      </c>
      <c r="E19" s="53" t="s">
        <v>663</v>
      </c>
      <c r="F19" s="30" t="s">
        <v>282</v>
      </c>
      <c r="G19" s="33">
        <v>2</v>
      </c>
      <c r="H19" s="35">
        <v>24</v>
      </c>
      <c r="I19" s="7">
        <v>32000</v>
      </c>
      <c r="J19" s="14">
        <v>4210</v>
      </c>
      <c r="K19" s="15">
        <f>L19+7323+6344</f>
        <v>17877</v>
      </c>
      <c r="L19" s="15">
        <f>1378+2832</f>
        <v>4210</v>
      </c>
      <c r="M19" s="15">
        <f t="shared" si="0"/>
        <v>4210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8"/>
        <v>0.79166666666666663</v>
      </c>
      <c r="AE19" s="36">
        <f t="shared" si="6"/>
        <v>0.58224495460962045</v>
      </c>
      <c r="AF19" s="81">
        <f t="shared" si="7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115</v>
      </c>
      <c r="E20" s="53" t="s">
        <v>171</v>
      </c>
      <c r="F20" s="30" t="s">
        <v>144</v>
      </c>
      <c r="G20" s="33">
        <v>2</v>
      </c>
      <c r="H20" s="35">
        <v>24</v>
      </c>
      <c r="I20" s="7">
        <v>190000</v>
      </c>
      <c r="J20" s="14">
        <v>8688</v>
      </c>
      <c r="K20" s="15">
        <f>L20+2429+7472</f>
        <v>18589</v>
      </c>
      <c r="L20" s="15">
        <f>2125*2+2219*2</f>
        <v>8688</v>
      </c>
      <c r="M20" s="15">
        <f t="shared" si="0"/>
        <v>8688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8"/>
        <v>0.875</v>
      </c>
      <c r="AE20" s="36">
        <f t="shared" si="6"/>
        <v>0.58224495460962045</v>
      </c>
      <c r="AF20" s="81">
        <f t="shared" si="7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494</v>
      </c>
      <c r="F21" s="12" t="s">
        <v>114</v>
      </c>
      <c r="G21" s="12">
        <v>4</v>
      </c>
      <c r="H21" s="35">
        <v>20</v>
      </c>
      <c r="I21" s="7">
        <v>2000000</v>
      </c>
      <c r="J21" s="14">
        <v>44068</v>
      </c>
      <c r="K21" s="15">
        <f>L21+34748+57176+64908+60896+57820+63964+64184+45828+40364</f>
        <v>533956</v>
      </c>
      <c r="L21" s="15">
        <f>6875*4+4142*4</f>
        <v>44068</v>
      </c>
      <c r="M21" s="15">
        <f t="shared" si="0"/>
        <v>44068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8"/>
        <v>0.875</v>
      </c>
      <c r="AE21" s="36">
        <f t="shared" si="6"/>
        <v>0.58224495460962045</v>
      </c>
      <c r="AF21" s="81">
        <f t="shared" si="7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0.58224495460962045</v>
      </c>
      <c r="AF22" s="81">
        <f t="shared" si="7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0.58224495460962045</v>
      </c>
      <c r="AF23" s="81">
        <f t="shared" si="7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0.58224495460962045</v>
      </c>
      <c r="AF24" s="81">
        <f t="shared" si="7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798</v>
      </c>
      <c r="F25" s="12" t="s">
        <v>125</v>
      </c>
      <c r="G25" s="12">
        <v>4</v>
      </c>
      <c r="H25" s="35">
        <v>20</v>
      </c>
      <c r="I25" s="7">
        <v>26000</v>
      </c>
      <c r="J25" s="14">
        <v>25860</v>
      </c>
      <c r="K25" s="15">
        <f>L25+13760</f>
        <v>39620</v>
      </c>
      <c r="L25" s="15">
        <f>3525*4+2940*4</f>
        <v>25860</v>
      </c>
      <c r="M25" s="15">
        <f t="shared" si="0"/>
        <v>25860</v>
      </c>
      <c r="N25" s="15">
        <v>0</v>
      </c>
      <c r="O25" s="58">
        <f t="shared" si="1"/>
        <v>0</v>
      </c>
      <c r="P25" s="39">
        <f t="shared" si="2"/>
        <v>24</v>
      </c>
      <c r="Q25" s="40">
        <f t="shared" si="3"/>
        <v>0</v>
      </c>
      <c r="R25" s="7"/>
      <c r="S25" s="6"/>
      <c r="T25" s="16"/>
      <c r="U25" s="16"/>
      <c r="V25" s="115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1</v>
      </c>
      <c r="AD25" s="10">
        <f t="shared" si="8"/>
        <v>1</v>
      </c>
      <c r="AE25" s="36">
        <f t="shared" si="6"/>
        <v>0.58224495460962045</v>
      </c>
      <c r="AF25" s="81">
        <f t="shared" si="7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0.58224495460962045</v>
      </c>
      <c r="AF26" s="81">
        <f t="shared" si="7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814</v>
      </c>
      <c r="F27" s="12" t="s">
        <v>144</v>
      </c>
      <c r="G27" s="12">
        <v>4</v>
      </c>
      <c r="H27" s="35">
        <v>20</v>
      </c>
      <c r="I27" s="7">
        <v>26000</v>
      </c>
      <c r="J27" s="14">
        <v>21920</v>
      </c>
      <c r="K27" s="15">
        <f>L27</f>
        <v>21920</v>
      </c>
      <c r="L27" s="15">
        <f>2839*4+2641*4</f>
        <v>21920</v>
      </c>
      <c r="M27" s="15">
        <f t="shared" si="0"/>
        <v>21920</v>
      </c>
      <c r="N27" s="15">
        <v>0</v>
      </c>
      <c r="O27" s="58">
        <f t="shared" si="1"/>
        <v>0</v>
      </c>
      <c r="P27" s="39">
        <f t="shared" si="2"/>
        <v>22</v>
      </c>
      <c r="Q27" s="40">
        <f t="shared" si="3"/>
        <v>2</v>
      </c>
      <c r="R27" s="7"/>
      <c r="S27" s="6"/>
      <c r="T27" s="16">
        <v>2</v>
      </c>
      <c r="U27" s="16"/>
      <c r="V27" s="115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0.91666666666666663</v>
      </c>
      <c r="AD27" s="10">
        <f t="shared" si="8"/>
        <v>0.91666666666666663</v>
      </c>
      <c r="AE27" s="36">
        <f t="shared" si="6"/>
        <v>0.58224495460962045</v>
      </c>
      <c r="AF27" s="81">
        <f t="shared" si="7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3053800</v>
      </c>
      <c r="J28" s="19">
        <f t="shared" si="10"/>
        <v>251878</v>
      </c>
      <c r="K28" s="20">
        <f t="shared" si="10"/>
        <v>1237985</v>
      </c>
      <c r="L28" s="21">
        <f t="shared" si="10"/>
        <v>181733</v>
      </c>
      <c r="M28" s="20">
        <f t="shared" si="10"/>
        <v>181733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313</v>
      </c>
      <c r="Q28" s="43">
        <f t="shared" si="11"/>
        <v>215</v>
      </c>
      <c r="R28" s="23">
        <f t="shared" si="11"/>
        <v>0</v>
      </c>
      <c r="S28" s="24">
        <f t="shared" si="11"/>
        <v>82</v>
      </c>
      <c r="T28" s="24">
        <f t="shared" si="11"/>
        <v>3</v>
      </c>
      <c r="U28" s="24">
        <f t="shared" si="11"/>
        <v>0</v>
      </c>
      <c r="V28" s="25">
        <f t="shared" si="11"/>
        <v>0</v>
      </c>
      <c r="W28" s="26">
        <f t="shared" si="11"/>
        <v>123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7</v>
      </c>
      <c r="AB28" s="28">
        <f>AVERAGE(AB6:AB27)</f>
        <v>0.73838611673724919</v>
      </c>
      <c r="AC28" s="4">
        <f>AVERAGE(AC6:AC27)</f>
        <v>0.59280303030303017</v>
      </c>
      <c r="AD28" s="4">
        <f>AVERAGE(AD6:AD27)</f>
        <v>0.58224495460962045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844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848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342" t="s">
        <v>46</v>
      </c>
      <c r="D57" s="342" t="s">
        <v>47</v>
      </c>
      <c r="E57" s="342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342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116</v>
      </c>
      <c r="B58" s="411"/>
      <c r="C58" s="344" t="s">
        <v>205</v>
      </c>
      <c r="D58" s="344" t="s">
        <v>842</v>
      </c>
      <c r="E58" s="344" t="s">
        <v>843</v>
      </c>
      <c r="F58" s="412" t="s">
        <v>845</v>
      </c>
      <c r="G58" s="413"/>
      <c r="H58" s="413"/>
      <c r="I58" s="413"/>
      <c r="J58" s="413"/>
      <c r="K58" s="413"/>
      <c r="L58" s="413"/>
      <c r="M58" s="414"/>
      <c r="N58" s="343" t="s">
        <v>116</v>
      </c>
      <c r="O58" s="350" t="s">
        <v>152</v>
      </c>
      <c r="P58" s="415" t="s">
        <v>146</v>
      </c>
      <c r="Q58" s="416"/>
      <c r="R58" s="415" t="s">
        <v>811</v>
      </c>
      <c r="S58" s="417"/>
      <c r="T58" s="417"/>
      <c r="U58" s="416"/>
      <c r="V58" s="412" t="s">
        <v>220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116</v>
      </c>
      <c r="B59" s="411"/>
      <c r="C59" s="344" t="s">
        <v>152</v>
      </c>
      <c r="D59" s="344" t="s">
        <v>146</v>
      </c>
      <c r="E59" s="344" t="s">
        <v>811</v>
      </c>
      <c r="F59" s="412" t="s">
        <v>481</v>
      </c>
      <c r="G59" s="413"/>
      <c r="H59" s="413"/>
      <c r="I59" s="413"/>
      <c r="J59" s="413"/>
      <c r="K59" s="413"/>
      <c r="L59" s="413"/>
      <c r="M59" s="414"/>
      <c r="N59" s="343" t="s">
        <v>112</v>
      </c>
      <c r="O59" s="350" t="s">
        <v>150</v>
      </c>
      <c r="P59" s="415" t="s">
        <v>115</v>
      </c>
      <c r="Q59" s="416"/>
      <c r="R59" s="415" t="s">
        <v>639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116</v>
      </c>
      <c r="B60" s="411"/>
      <c r="C60" s="344" t="s">
        <v>185</v>
      </c>
      <c r="D60" s="344" t="s">
        <v>121</v>
      </c>
      <c r="E60" s="344" t="s">
        <v>841</v>
      </c>
      <c r="F60" s="412" t="s">
        <v>122</v>
      </c>
      <c r="G60" s="413"/>
      <c r="H60" s="413"/>
      <c r="I60" s="413"/>
      <c r="J60" s="413"/>
      <c r="K60" s="413"/>
      <c r="L60" s="413"/>
      <c r="M60" s="414"/>
      <c r="N60" s="343" t="s">
        <v>129</v>
      </c>
      <c r="O60" s="350" t="s">
        <v>262</v>
      </c>
      <c r="P60" s="415" t="s">
        <v>115</v>
      </c>
      <c r="Q60" s="416"/>
      <c r="R60" s="415" t="s">
        <v>663</v>
      </c>
      <c r="S60" s="417"/>
      <c r="T60" s="417"/>
      <c r="U60" s="416"/>
      <c r="V60" s="412" t="s">
        <v>220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112</v>
      </c>
      <c r="B61" s="411"/>
      <c r="C61" s="344" t="s">
        <v>151</v>
      </c>
      <c r="D61" s="344" t="s">
        <v>115</v>
      </c>
      <c r="E61" s="344" t="s">
        <v>813</v>
      </c>
      <c r="F61" s="412" t="s">
        <v>846</v>
      </c>
      <c r="G61" s="413"/>
      <c r="H61" s="413"/>
      <c r="I61" s="413"/>
      <c r="J61" s="413"/>
      <c r="K61" s="413"/>
      <c r="L61" s="413"/>
      <c r="M61" s="414"/>
      <c r="N61" s="343" t="s">
        <v>112</v>
      </c>
      <c r="O61" s="350" t="s">
        <v>151</v>
      </c>
      <c r="P61" s="415" t="s">
        <v>115</v>
      </c>
      <c r="Q61" s="416"/>
      <c r="R61" s="415" t="s">
        <v>667</v>
      </c>
      <c r="S61" s="417"/>
      <c r="T61" s="417"/>
      <c r="U61" s="416"/>
      <c r="V61" s="412" t="s">
        <v>220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112</v>
      </c>
      <c r="B62" s="411"/>
      <c r="C62" s="344" t="s">
        <v>151</v>
      </c>
      <c r="D62" s="344" t="s">
        <v>115</v>
      </c>
      <c r="E62" s="344" t="s">
        <v>667</v>
      </c>
      <c r="F62" s="412" t="s">
        <v>122</v>
      </c>
      <c r="G62" s="413"/>
      <c r="H62" s="413"/>
      <c r="I62" s="413"/>
      <c r="J62" s="413"/>
      <c r="K62" s="413"/>
      <c r="L62" s="413"/>
      <c r="M62" s="414"/>
      <c r="N62" s="343" t="s">
        <v>112</v>
      </c>
      <c r="O62" s="350" t="s">
        <v>151</v>
      </c>
      <c r="P62" s="415" t="s">
        <v>115</v>
      </c>
      <c r="Q62" s="416"/>
      <c r="R62" s="415" t="s">
        <v>813</v>
      </c>
      <c r="S62" s="417"/>
      <c r="T62" s="417"/>
      <c r="U62" s="416"/>
      <c r="V62" s="412" t="s">
        <v>220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344" t="s">
        <v>223</v>
      </c>
      <c r="D63" s="344" t="s">
        <v>115</v>
      </c>
      <c r="E63" s="344" t="s">
        <v>171</v>
      </c>
      <c r="F63" s="412" t="s">
        <v>847</v>
      </c>
      <c r="G63" s="413"/>
      <c r="H63" s="413"/>
      <c r="I63" s="413"/>
      <c r="J63" s="413"/>
      <c r="K63" s="413"/>
      <c r="L63" s="413"/>
      <c r="M63" s="414"/>
      <c r="N63" s="343" t="s">
        <v>563</v>
      </c>
      <c r="O63" s="350" t="s">
        <v>200</v>
      </c>
      <c r="P63" s="415"/>
      <c r="Q63" s="416"/>
      <c r="R63" s="415" t="s">
        <v>659</v>
      </c>
      <c r="S63" s="417"/>
      <c r="T63" s="417"/>
      <c r="U63" s="416"/>
      <c r="V63" s="412" t="s">
        <v>368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129</v>
      </c>
      <c r="B64" s="411"/>
      <c r="C64" s="344" t="s">
        <v>262</v>
      </c>
      <c r="D64" s="344" t="s">
        <v>115</v>
      </c>
      <c r="E64" s="344" t="s">
        <v>663</v>
      </c>
      <c r="F64" s="412" t="s">
        <v>226</v>
      </c>
      <c r="G64" s="413"/>
      <c r="H64" s="413"/>
      <c r="I64" s="413"/>
      <c r="J64" s="413"/>
      <c r="K64" s="413"/>
      <c r="L64" s="413"/>
      <c r="M64" s="414"/>
      <c r="N64" s="343"/>
      <c r="O64" s="350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 t="s">
        <v>129</v>
      </c>
      <c r="B65" s="427"/>
      <c r="C65" s="347" t="s">
        <v>296</v>
      </c>
      <c r="D65" s="347" t="s">
        <v>131</v>
      </c>
      <c r="E65" s="344" t="s">
        <v>812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343"/>
      <c r="O65" s="350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 t="s">
        <v>116</v>
      </c>
      <c r="B66" s="427"/>
      <c r="C66" s="347" t="s">
        <v>815</v>
      </c>
      <c r="D66" s="347" t="s">
        <v>115</v>
      </c>
      <c r="E66" s="344" t="s">
        <v>814</v>
      </c>
      <c r="F66" s="412" t="s">
        <v>122</v>
      </c>
      <c r="G66" s="413"/>
      <c r="H66" s="413"/>
      <c r="I66" s="413"/>
      <c r="J66" s="413"/>
      <c r="K66" s="413"/>
      <c r="L66" s="413"/>
      <c r="M66" s="414"/>
      <c r="N66" s="343"/>
      <c r="O66" s="350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345"/>
      <c r="D67" s="346"/>
      <c r="E67" s="345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849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348" t="s">
        <v>2</v>
      </c>
      <c r="D69" s="348" t="s">
        <v>37</v>
      </c>
      <c r="E69" s="348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348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129</v>
      </c>
      <c r="D70" s="352"/>
      <c r="E70" s="349" t="s">
        <v>154</v>
      </c>
      <c r="F70" s="437" t="s">
        <v>285</v>
      </c>
      <c r="G70" s="438"/>
      <c r="H70" s="438"/>
      <c r="I70" s="438"/>
      <c r="J70" s="438"/>
      <c r="K70" s="438" t="s">
        <v>282</v>
      </c>
      <c r="L70" s="438"/>
      <c r="M70" s="51" t="s">
        <v>184</v>
      </c>
      <c r="N70" s="439" t="s">
        <v>185</v>
      </c>
      <c r="O70" s="439"/>
      <c r="P70" s="440">
        <v>100</v>
      </c>
      <c r="Q70" s="440"/>
      <c r="R70" s="441"/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112</v>
      </c>
      <c r="D71" s="352"/>
      <c r="E71" s="349" t="s">
        <v>121</v>
      </c>
      <c r="F71" s="437" t="s">
        <v>520</v>
      </c>
      <c r="G71" s="438"/>
      <c r="H71" s="438"/>
      <c r="I71" s="438"/>
      <c r="J71" s="438"/>
      <c r="K71" s="438" t="s">
        <v>130</v>
      </c>
      <c r="L71" s="438"/>
      <c r="M71" s="51" t="s">
        <v>184</v>
      </c>
      <c r="N71" s="439" t="s">
        <v>185</v>
      </c>
      <c r="O71" s="439"/>
      <c r="P71" s="440">
        <v>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/>
      <c r="D72" s="352"/>
      <c r="E72" s="349"/>
      <c r="F72" s="437"/>
      <c r="G72" s="438"/>
      <c r="H72" s="438"/>
      <c r="I72" s="438"/>
      <c r="J72" s="438"/>
      <c r="K72" s="438"/>
      <c r="L72" s="438"/>
      <c r="M72" s="51"/>
      <c r="N72" s="439"/>
      <c r="O72" s="439"/>
      <c r="P72" s="440"/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/>
      <c r="D73" s="352"/>
      <c r="E73" s="349"/>
      <c r="F73" s="443"/>
      <c r="G73" s="444"/>
      <c r="H73" s="444"/>
      <c r="I73" s="444"/>
      <c r="J73" s="445"/>
      <c r="K73" s="438"/>
      <c r="L73" s="438"/>
      <c r="M73" s="51"/>
      <c r="N73" s="439"/>
      <c r="O73" s="439"/>
      <c r="P73" s="440"/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352"/>
      <c r="E74" s="349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352"/>
      <c r="E75" s="349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352"/>
      <c r="E76" s="349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352"/>
      <c r="E77" s="349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352"/>
      <c r="E78" s="349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352"/>
      <c r="E79" s="349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850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351" t="s">
        <v>2</v>
      </c>
      <c r="D81" s="351" t="s">
        <v>37</v>
      </c>
      <c r="E81" s="351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353"/>
      <c r="D82" s="353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352"/>
      <c r="D83" s="352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352"/>
      <c r="D84" s="352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352"/>
      <c r="D85" s="352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352"/>
      <c r="D86" s="352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352"/>
      <c r="D87" s="352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352"/>
      <c r="D88" s="352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851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DE39-C3A9-4AB0-84AF-96C12130C4CC}">
  <sheetPr>
    <pageSetUpPr fitToPage="1"/>
  </sheetPr>
  <dimension ref="A1:AF93"/>
  <sheetViews>
    <sheetView view="pageBreakPreview" zoomScale="70" zoomScaleNormal="72" zoomScaleSheetLayoutView="70" workbookViewId="0">
      <selection activeCell="F76" sqref="F76:J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852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146</v>
      </c>
      <c r="E6" s="53" t="s">
        <v>811</v>
      </c>
      <c r="F6" s="30" t="s">
        <v>570</v>
      </c>
      <c r="G6" s="12">
        <v>1</v>
      </c>
      <c r="H6" s="13">
        <v>24</v>
      </c>
      <c r="I6" s="31">
        <v>1000</v>
      </c>
      <c r="J6" s="14">
        <v>2771</v>
      </c>
      <c r="K6" s="15">
        <f>L6</f>
        <v>2771</v>
      </c>
      <c r="L6" s="15">
        <f>2771</f>
        <v>2771</v>
      </c>
      <c r="M6" s="15">
        <f t="shared" ref="M6:M27" si="0">L6-N6</f>
        <v>2771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14</v>
      </c>
      <c r="Q6" s="40">
        <f t="shared" ref="Q6:Q27" si="3">SUM(R6:AA6)</f>
        <v>10</v>
      </c>
      <c r="R6" s="7"/>
      <c r="S6" s="6">
        <v>10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0.58333333333333337</v>
      </c>
      <c r="AD6" s="10">
        <f>AC6*AB6*(1-O6)</f>
        <v>0.58333333333333337</v>
      </c>
      <c r="AE6" s="36">
        <f t="shared" ref="AE6:AE27" si="6">$AD$28</f>
        <v>0.40807645419714389</v>
      </c>
      <c r="AF6" s="81">
        <f t="shared" ref="AF6:AF27" si="7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1</v>
      </c>
      <c r="H7" s="13">
        <v>24</v>
      </c>
      <c r="I7" s="31">
        <v>190000</v>
      </c>
      <c r="J7" s="14">
        <v>10958</v>
      </c>
      <c r="K7" s="15">
        <f>L7+8898+11520+11558+11486+11566+10872</f>
        <v>76858</v>
      </c>
      <c r="L7" s="15">
        <f>2893*2+2586*2</f>
        <v>10958</v>
      </c>
      <c r="M7" s="15">
        <f t="shared" si="0"/>
        <v>10958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7" si="8">AC7*AB7*(1-O7)</f>
        <v>1</v>
      </c>
      <c r="AE7" s="36">
        <f t="shared" si="6"/>
        <v>0.40807645419714389</v>
      </c>
      <c r="AF7" s="81">
        <f t="shared" si="7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667</v>
      </c>
      <c r="F8" s="30" t="s">
        <v>209</v>
      </c>
      <c r="G8" s="12">
        <v>1</v>
      </c>
      <c r="H8" s="13">
        <v>22</v>
      </c>
      <c r="I8" s="31">
        <v>200</v>
      </c>
      <c r="J8" s="5">
        <v>196</v>
      </c>
      <c r="K8" s="15">
        <f>L8+269</f>
        <v>465</v>
      </c>
      <c r="L8" s="15">
        <v>196</v>
      </c>
      <c r="M8" s="15">
        <f t="shared" si="0"/>
        <v>196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>
        <v>20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8"/>
        <v>0.16666666666666666</v>
      </c>
      <c r="AE8" s="36">
        <f t="shared" si="6"/>
        <v>0.40807645419714389</v>
      </c>
      <c r="AF8" s="81">
        <f t="shared" si="7"/>
        <v>3</v>
      </c>
    </row>
    <row r="9" spans="1:32" ht="27" customHeight="1">
      <c r="A9" s="93">
        <v>4</v>
      </c>
      <c r="B9" s="11" t="s">
        <v>57</v>
      </c>
      <c r="C9" s="34" t="s">
        <v>563</v>
      </c>
      <c r="D9" s="52"/>
      <c r="E9" s="53" t="s">
        <v>646</v>
      </c>
      <c r="F9" s="30" t="s">
        <v>161</v>
      </c>
      <c r="G9" s="12">
        <v>2</v>
      </c>
      <c r="H9" s="13">
        <v>24</v>
      </c>
      <c r="I9" s="7">
        <v>73000</v>
      </c>
      <c r="J9" s="14">
        <v>10862</v>
      </c>
      <c r="K9" s="15">
        <f>L9+7548+11534+11630+11548+11636+8339</f>
        <v>62235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8"/>
        <v>0</v>
      </c>
      <c r="AE9" s="36">
        <f t="shared" si="6"/>
        <v>0.40807645419714389</v>
      </c>
      <c r="AF9" s="81">
        <f t="shared" si="7"/>
        <v>4</v>
      </c>
    </row>
    <row r="10" spans="1:32" ht="27" customHeight="1">
      <c r="A10" s="93">
        <v>5</v>
      </c>
      <c r="B10" s="11" t="s">
        <v>57</v>
      </c>
      <c r="C10" s="11" t="s">
        <v>563</v>
      </c>
      <c r="D10" s="52"/>
      <c r="E10" s="53" t="s">
        <v>608</v>
      </c>
      <c r="F10" s="30" t="s">
        <v>282</v>
      </c>
      <c r="G10" s="33">
        <v>2</v>
      </c>
      <c r="H10" s="35">
        <v>24</v>
      </c>
      <c r="I10" s="7">
        <v>73000</v>
      </c>
      <c r="J10" s="14">
        <v>10440</v>
      </c>
      <c r="K10" s="15">
        <f>L10+8462+9820+9820+10676+11024+11102+10440</f>
        <v>81116</v>
      </c>
      <c r="L10" s="15">
        <f>2828*2+2058*2</f>
        <v>9772</v>
      </c>
      <c r="M10" s="15">
        <f t="shared" si="0"/>
        <v>9772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0.93601532567049806</v>
      </c>
      <c r="AC10" s="9">
        <f t="shared" si="5"/>
        <v>1</v>
      </c>
      <c r="AD10" s="10">
        <f t="shared" si="8"/>
        <v>0.93601532567049806</v>
      </c>
      <c r="AE10" s="36">
        <f t="shared" si="6"/>
        <v>0.40807645419714389</v>
      </c>
      <c r="AF10" s="81">
        <f t="shared" si="7"/>
        <v>5</v>
      </c>
    </row>
    <row r="11" spans="1:32" ht="27" customHeight="1">
      <c r="A11" s="93">
        <v>6</v>
      </c>
      <c r="B11" s="11" t="s">
        <v>57</v>
      </c>
      <c r="C11" s="11" t="s">
        <v>116</v>
      </c>
      <c r="D11" s="52" t="s">
        <v>121</v>
      </c>
      <c r="E11" s="53" t="s">
        <v>841</v>
      </c>
      <c r="F11" s="30" t="s">
        <v>124</v>
      </c>
      <c r="G11" s="33">
        <v>1</v>
      </c>
      <c r="H11" s="35">
        <v>24</v>
      </c>
      <c r="I11" s="7">
        <v>1000</v>
      </c>
      <c r="J11" s="14">
        <v>2219</v>
      </c>
      <c r="K11" s="15">
        <f>L11+2219</f>
        <v>2219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8"/>
        <v>0</v>
      </c>
      <c r="AE11" s="36">
        <f t="shared" si="6"/>
        <v>0.40807645419714389</v>
      </c>
      <c r="AF11" s="81">
        <f t="shared" si="7"/>
        <v>6</v>
      </c>
    </row>
    <row r="12" spans="1:32" ht="27" customHeight="1">
      <c r="A12" s="93">
        <v>7</v>
      </c>
      <c r="B12" s="11" t="s">
        <v>57</v>
      </c>
      <c r="C12" s="34" t="s">
        <v>116</v>
      </c>
      <c r="D12" s="52" t="s">
        <v>115</v>
      </c>
      <c r="E12" s="53" t="s">
        <v>164</v>
      </c>
      <c r="F12" s="30" t="s">
        <v>123</v>
      </c>
      <c r="G12" s="12">
        <v>1</v>
      </c>
      <c r="H12" s="13">
        <v>22</v>
      </c>
      <c r="I12" s="31">
        <f>70000+110000</f>
        <v>180000</v>
      </c>
      <c r="J12" s="5">
        <v>3958</v>
      </c>
      <c r="K12" s="15">
        <f>L12+5056+5299+5142+4725+5285+5308+3502+5153+5075+5268+5338+5267+5184+5110+5267+5309+13944+5077+5113+5283+5335+5351+3987+5016+5288+5339+5296+5335+4973</f>
        <v>160583</v>
      </c>
      <c r="L12" s="15">
        <f>1520+2438</f>
        <v>3958</v>
      </c>
      <c r="M12" s="15">
        <f t="shared" si="0"/>
        <v>3958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>
        <v>4</v>
      </c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8"/>
        <v>0.83333333333333337</v>
      </c>
      <c r="AE12" s="36">
        <f t="shared" si="6"/>
        <v>0.40807645419714389</v>
      </c>
      <c r="AF12" s="81">
        <f t="shared" si="7"/>
        <v>7</v>
      </c>
    </row>
    <row r="13" spans="1:32" ht="27" customHeight="1">
      <c r="A13" s="93">
        <v>8</v>
      </c>
      <c r="B13" s="11" t="s">
        <v>57</v>
      </c>
      <c r="C13" s="11" t="s">
        <v>116</v>
      </c>
      <c r="D13" s="52" t="s">
        <v>842</v>
      </c>
      <c r="E13" s="53" t="s">
        <v>843</v>
      </c>
      <c r="F13" s="30" t="s">
        <v>141</v>
      </c>
      <c r="G13" s="33">
        <v>1</v>
      </c>
      <c r="H13" s="35">
        <v>22</v>
      </c>
      <c r="I13" s="7">
        <v>3000</v>
      </c>
      <c r="J13" s="14">
        <v>4522</v>
      </c>
      <c r="K13" s="15">
        <f>L13+4261</f>
        <v>8783</v>
      </c>
      <c r="L13" s="15">
        <f>2206+2316</f>
        <v>4522</v>
      </c>
      <c r="M13" s="15">
        <f t="shared" si="0"/>
        <v>4522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8"/>
        <v>1</v>
      </c>
      <c r="AE13" s="36">
        <f t="shared" si="6"/>
        <v>0.40807645419714389</v>
      </c>
      <c r="AF13" s="81">
        <f t="shared" si="7"/>
        <v>8</v>
      </c>
    </row>
    <row r="14" spans="1:32" ht="27" customHeight="1">
      <c r="A14" s="100">
        <v>9</v>
      </c>
      <c r="B14" s="11" t="s">
        <v>57</v>
      </c>
      <c r="C14" s="34" t="s">
        <v>112</v>
      </c>
      <c r="D14" s="52" t="s">
        <v>115</v>
      </c>
      <c r="E14" s="53" t="s">
        <v>639</v>
      </c>
      <c r="F14" s="30" t="s">
        <v>647</v>
      </c>
      <c r="G14" s="33">
        <v>1</v>
      </c>
      <c r="H14" s="35">
        <v>50</v>
      </c>
      <c r="I14" s="7">
        <v>300</v>
      </c>
      <c r="J14" s="5">
        <v>6132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8"/>
        <v>0</v>
      </c>
      <c r="AE14" s="36">
        <f t="shared" si="6"/>
        <v>0.40807645419714389</v>
      </c>
      <c r="AF14" s="81">
        <f t="shared" si="7"/>
        <v>9</v>
      </c>
    </row>
    <row r="15" spans="1:32" ht="27" customHeight="1">
      <c r="A15" s="107">
        <v>10</v>
      </c>
      <c r="B15" s="11" t="s">
        <v>57</v>
      </c>
      <c r="C15" s="34" t="s">
        <v>112</v>
      </c>
      <c r="D15" s="52" t="s">
        <v>146</v>
      </c>
      <c r="E15" s="53" t="s">
        <v>610</v>
      </c>
      <c r="F15" s="30" t="s">
        <v>148</v>
      </c>
      <c r="G15" s="12">
        <v>1</v>
      </c>
      <c r="H15" s="13">
        <v>24</v>
      </c>
      <c r="I15" s="31">
        <v>3300</v>
      </c>
      <c r="J15" s="14">
        <v>4832</v>
      </c>
      <c r="K15" s="15">
        <f>L15+4832</f>
        <v>4832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8"/>
        <v>0</v>
      </c>
      <c r="AE15" s="36">
        <f t="shared" si="6"/>
        <v>0.40807645419714389</v>
      </c>
      <c r="AF15" s="81">
        <f t="shared" si="7"/>
        <v>10</v>
      </c>
    </row>
    <row r="16" spans="1:32" ht="27" customHeight="1">
      <c r="A16" s="107">
        <v>11</v>
      </c>
      <c r="B16" s="11" t="s">
        <v>57</v>
      </c>
      <c r="C16" s="34" t="s">
        <v>563</v>
      </c>
      <c r="D16" s="52"/>
      <c r="E16" s="53" t="s">
        <v>659</v>
      </c>
      <c r="F16" s="30" t="s">
        <v>161</v>
      </c>
      <c r="G16" s="12">
        <v>2</v>
      </c>
      <c r="H16" s="13">
        <v>24</v>
      </c>
      <c r="I16" s="7">
        <v>73000</v>
      </c>
      <c r="J16" s="14">
        <v>10512</v>
      </c>
      <c r="K16" s="15">
        <f>L16+10730+9070+9850+12188+10512</f>
        <v>52350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8"/>
        <v>0</v>
      </c>
      <c r="AE16" s="36">
        <f t="shared" si="6"/>
        <v>0.40807645419714389</v>
      </c>
      <c r="AF16" s="81">
        <f t="shared" si="7"/>
        <v>11</v>
      </c>
    </row>
    <row r="17" spans="1:32" ht="27" customHeight="1">
      <c r="A17" s="107">
        <v>12</v>
      </c>
      <c r="B17" s="11" t="s">
        <v>57</v>
      </c>
      <c r="C17" s="34" t="s">
        <v>129</v>
      </c>
      <c r="D17" s="52" t="s">
        <v>131</v>
      </c>
      <c r="E17" s="53" t="s">
        <v>812</v>
      </c>
      <c r="F17" s="30" t="s">
        <v>278</v>
      </c>
      <c r="G17" s="12">
        <v>4</v>
      </c>
      <c r="H17" s="13">
        <v>24</v>
      </c>
      <c r="I17" s="7">
        <v>30000</v>
      </c>
      <c r="J17" s="14">
        <v>21068</v>
      </c>
      <c r="K17" s="15">
        <f>L17+19916</f>
        <v>40984</v>
      </c>
      <c r="L17" s="15">
        <f>2744*4+2523*4</f>
        <v>21068</v>
      </c>
      <c r="M17" s="15">
        <f t="shared" si="0"/>
        <v>21068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8"/>
        <v>1</v>
      </c>
      <c r="AE17" s="36">
        <f t="shared" si="6"/>
        <v>0.40807645419714389</v>
      </c>
      <c r="AF17" s="81">
        <f t="shared" si="7"/>
        <v>12</v>
      </c>
    </row>
    <row r="18" spans="1:32" ht="27" customHeight="1">
      <c r="A18" s="93">
        <v>13</v>
      </c>
      <c r="B18" s="11" t="s">
        <v>57</v>
      </c>
      <c r="C18" s="34" t="s">
        <v>112</v>
      </c>
      <c r="D18" s="52" t="s">
        <v>128</v>
      </c>
      <c r="E18" s="53" t="s">
        <v>735</v>
      </c>
      <c r="F18" s="30" t="s">
        <v>130</v>
      </c>
      <c r="G18" s="12">
        <v>1</v>
      </c>
      <c r="H18" s="13">
        <v>22</v>
      </c>
      <c r="I18" s="31">
        <v>32000</v>
      </c>
      <c r="J18" s="5">
        <v>5334</v>
      </c>
      <c r="K18" s="15">
        <f>L18+3632+827+4487+5186</f>
        <v>19466</v>
      </c>
      <c r="L18" s="15">
        <f>2799+2535</f>
        <v>5334</v>
      </c>
      <c r="M18" s="15">
        <f t="shared" si="0"/>
        <v>5334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8"/>
        <v>1</v>
      </c>
      <c r="AE18" s="36">
        <f t="shared" si="6"/>
        <v>0.40807645419714389</v>
      </c>
      <c r="AF18" s="81">
        <f t="shared" si="7"/>
        <v>13</v>
      </c>
    </row>
    <row r="19" spans="1:32" ht="27" customHeight="1">
      <c r="A19" s="93">
        <v>14</v>
      </c>
      <c r="B19" s="11" t="s">
        <v>57</v>
      </c>
      <c r="C19" s="11" t="s">
        <v>129</v>
      </c>
      <c r="D19" s="52" t="s">
        <v>115</v>
      </c>
      <c r="E19" s="53" t="s">
        <v>663</v>
      </c>
      <c r="F19" s="30" t="s">
        <v>282</v>
      </c>
      <c r="G19" s="33">
        <v>2</v>
      </c>
      <c r="H19" s="35">
        <v>24</v>
      </c>
      <c r="I19" s="7">
        <v>32000</v>
      </c>
      <c r="J19" s="14">
        <v>6874</v>
      </c>
      <c r="K19" s="15">
        <f>L19+7323+6344+4210</f>
        <v>24751</v>
      </c>
      <c r="L19" s="15">
        <f>2834*2+603*2</f>
        <v>6874</v>
      </c>
      <c r="M19" s="15">
        <f t="shared" si="0"/>
        <v>6874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>
        <v>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8"/>
        <v>0.70833333333333337</v>
      </c>
      <c r="AE19" s="36">
        <f t="shared" si="6"/>
        <v>0.40807645419714389</v>
      </c>
      <c r="AF19" s="81">
        <f t="shared" si="7"/>
        <v>14</v>
      </c>
    </row>
    <row r="20" spans="1:32" ht="27" customHeight="1">
      <c r="A20" s="107">
        <v>15</v>
      </c>
      <c r="B20" s="11" t="s">
        <v>57</v>
      </c>
      <c r="C20" s="11" t="s">
        <v>112</v>
      </c>
      <c r="D20" s="52" t="s">
        <v>115</v>
      </c>
      <c r="E20" s="53" t="s">
        <v>171</v>
      </c>
      <c r="F20" s="30" t="s">
        <v>144</v>
      </c>
      <c r="G20" s="33">
        <v>2</v>
      </c>
      <c r="H20" s="35">
        <v>24</v>
      </c>
      <c r="I20" s="7">
        <v>190000</v>
      </c>
      <c r="J20" s="14">
        <v>7444</v>
      </c>
      <c r="K20" s="15">
        <f>L20+2429+7472+8688</f>
        <v>26033</v>
      </c>
      <c r="L20" s="15">
        <f>2760*2+962*2</f>
        <v>7444</v>
      </c>
      <c r="M20" s="15">
        <f t="shared" si="0"/>
        <v>7444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8"/>
        <v>0.79166666666666663</v>
      </c>
      <c r="AE20" s="36">
        <f t="shared" si="6"/>
        <v>0.40807645419714389</v>
      </c>
      <c r="AF20" s="81">
        <f t="shared" si="7"/>
        <v>15</v>
      </c>
    </row>
    <row r="21" spans="1:32" ht="26.25" customHeight="1">
      <c r="A21" s="93">
        <v>16</v>
      </c>
      <c r="B21" s="11" t="s">
        <v>57</v>
      </c>
      <c r="C21" s="11" t="s">
        <v>113</v>
      </c>
      <c r="D21" s="52"/>
      <c r="E21" s="53" t="s">
        <v>494</v>
      </c>
      <c r="F21" s="12" t="s">
        <v>114</v>
      </c>
      <c r="G21" s="12">
        <v>4</v>
      </c>
      <c r="H21" s="35">
        <v>20</v>
      </c>
      <c r="I21" s="7">
        <v>2000000</v>
      </c>
      <c r="J21" s="14">
        <v>59984</v>
      </c>
      <c r="K21" s="15">
        <f>L21+34748+57176+64908+60896+57820+63964+64184+45828+40364+44068</f>
        <v>593940</v>
      </c>
      <c r="L21" s="15">
        <f>8410*4+6586*4</f>
        <v>59984</v>
      </c>
      <c r="M21" s="15">
        <f t="shared" si="0"/>
        <v>59984</v>
      </c>
      <c r="N21" s="15">
        <v>0</v>
      </c>
      <c r="O21" s="58">
        <f t="shared" si="1"/>
        <v>0</v>
      </c>
      <c r="P21" s="39">
        <f t="shared" si="2"/>
        <v>23</v>
      </c>
      <c r="Q21" s="40">
        <f t="shared" si="3"/>
        <v>1</v>
      </c>
      <c r="R21" s="7"/>
      <c r="S21" s="6">
        <v>1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0.95833333333333337</v>
      </c>
      <c r="AD21" s="10">
        <f t="shared" si="8"/>
        <v>0.95833333333333337</v>
      </c>
      <c r="AE21" s="36">
        <f t="shared" si="6"/>
        <v>0.40807645419714389</v>
      </c>
      <c r="AF21" s="81">
        <f t="shared" si="7"/>
        <v>16</v>
      </c>
    </row>
    <row r="22" spans="1:32" ht="21.75" customHeight="1">
      <c r="A22" s="93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 t="shared" ref="K22:K23" si="9"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8"/>
        <v>0</v>
      </c>
      <c r="AE22" s="36">
        <f t="shared" si="6"/>
        <v>0.40807645419714389</v>
      </c>
      <c r="AF22" s="81">
        <f t="shared" si="7"/>
        <v>31</v>
      </c>
    </row>
    <row r="23" spans="1:32" ht="21.75" customHeight="1">
      <c r="A23" s="93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si="9"/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8"/>
        <v>0</v>
      </c>
      <c r="AE23" s="36">
        <f t="shared" si="6"/>
        <v>0.40807645419714389</v>
      </c>
      <c r="AF23" s="81">
        <f t="shared" si="7"/>
        <v>32</v>
      </c>
    </row>
    <row r="24" spans="1:32" ht="21.75" customHeight="1">
      <c r="A24" s="93">
        <v>33</v>
      </c>
      <c r="B24" s="11" t="s">
        <v>57</v>
      </c>
      <c r="C24" s="11" t="s">
        <v>116</v>
      </c>
      <c r="D24" s="52" t="s">
        <v>170</v>
      </c>
      <c r="E24" s="53" t="s">
        <v>168</v>
      </c>
      <c r="F24" s="12" t="s">
        <v>124</v>
      </c>
      <c r="G24" s="12">
        <v>4</v>
      </c>
      <c r="H24" s="35">
        <v>20</v>
      </c>
      <c r="I24" s="7">
        <v>60000</v>
      </c>
      <c r="J24" s="14">
        <v>28124</v>
      </c>
      <c r="K24" s="15">
        <f>L24+23172+28124+27392</f>
        <v>78688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15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8"/>
        <v>0</v>
      </c>
      <c r="AE24" s="36">
        <f t="shared" si="6"/>
        <v>0.40807645419714389</v>
      </c>
      <c r="AF24" s="81">
        <f t="shared" si="7"/>
        <v>33</v>
      </c>
    </row>
    <row r="25" spans="1:32" ht="21.75" customHeight="1">
      <c r="A25" s="93">
        <v>34</v>
      </c>
      <c r="B25" s="11" t="s">
        <v>57</v>
      </c>
      <c r="C25" s="11" t="s">
        <v>116</v>
      </c>
      <c r="D25" s="52" t="s">
        <v>131</v>
      </c>
      <c r="E25" s="53" t="s">
        <v>798</v>
      </c>
      <c r="F25" s="12" t="s">
        <v>125</v>
      </c>
      <c r="G25" s="12">
        <v>4</v>
      </c>
      <c r="H25" s="35">
        <v>20</v>
      </c>
      <c r="I25" s="7">
        <v>26000</v>
      </c>
      <c r="J25" s="14">
        <v>25860</v>
      </c>
      <c r="K25" s="15">
        <f>L25+13760+25860</f>
        <v>39620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0</v>
      </c>
      <c r="R25" s="7"/>
      <c r="S25" s="6"/>
      <c r="T25" s="16"/>
      <c r="U25" s="16"/>
      <c r="V25" s="115"/>
      <c r="W25" s="5"/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8"/>
        <v>0</v>
      </c>
      <c r="AE25" s="36">
        <f t="shared" si="6"/>
        <v>0.40807645419714389</v>
      </c>
      <c r="AF25" s="81">
        <f t="shared" si="7"/>
        <v>34</v>
      </c>
    </row>
    <row r="26" spans="1:32" ht="21.75" customHeight="1">
      <c r="A26" s="93">
        <v>35</v>
      </c>
      <c r="B26" s="11" t="s">
        <v>57</v>
      </c>
      <c r="C26" s="11" t="s">
        <v>116</v>
      </c>
      <c r="D26" s="52" t="s">
        <v>121</v>
      </c>
      <c r="E26" s="53" t="s">
        <v>126</v>
      </c>
      <c r="F26" s="12" t="s">
        <v>125</v>
      </c>
      <c r="G26" s="12">
        <v>4</v>
      </c>
      <c r="H26" s="35">
        <v>20</v>
      </c>
      <c r="I26" s="7">
        <v>60000</v>
      </c>
      <c r="J26" s="14">
        <v>26944</v>
      </c>
      <c r="K26" s="15">
        <f>L26+24592+26944+21716</f>
        <v>73252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15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8"/>
        <v>0</v>
      </c>
      <c r="AE26" s="36">
        <f t="shared" si="6"/>
        <v>0.40807645419714389</v>
      </c>
      <c r="AF26" s="81">
        <f t="shared" si="7"/>
        <v>35</v>
      </c>
    </row>
    <row r="27" spans="1:32" ht="21.75" customHeight="1" thickBot="1">
      <c r="A27" s="93">
        <v>36</v>
      </c>
      <c r="B27" s="11" t="s">
        <v>57</v>
      </c>
      <c r="C27" s="11" t="s">
        <v>116</v>
      </c>
      <c r="D27" s="52" t="s">
        <v>115</v>
      </c>
      <c r="E27" s="53" t="s">
        <v>814</v>
      </c>
      <c r="F27" s="12" t="s">
        <v>144</v>
      </c>
      <c r="G27" s="12">
        <v>4</v>
      </c>
      <c r="H27" s="35">
        <v>20</v>
      </c>
      <c r="I27" s="7">
        <v>26000</v>
      </c>
      <c r="J27" s="14">
        <v>21920</v>
      </c>
      <c r="K27" s="15">
        <f>L27+21920</f>
        <v>21920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</v>
      </c>
      <c r="R27" s="7"/>
      <c r="S27" s="6"/>
      <c r="T27" s="16">
        <v>2</v>
      </c>
      <c r="U27" s="16"/>
      <c r="V27" s="115"/>
      <c r="W27" s="5"/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8"/>
        <v>0</v>
      </c>
      <c r="AE27" s="36">
        <f t="shared" si="6"/>
        <v>0.40807645419714389</v>
      </c>
      <c r="AF27" s="81">
        <f t="shared" si="7"/>
        <v>36</v>
      </c>
    </row>
    <row r="28" spans="1:32" ht="19.5" thickBot="1">
      <c r="A28" s="384" t="s">
        <v>34</v>
      </c>
      <c r="B28" s="385"/>
      <c r="C28" s="385"/>
      <c r="D28" s="385"/>
      <c r="E28" s="385"/>
      <c r="F28" s="385"/>
      <c r="G28" s="385"/>
      <c r="H28" s="386"/>
      <c r="I28" s="22">
        <f t="shared" ref="I28:N28" si="10">SUM(I6:I27)</f>
        <v>3053800</v>
      </c>
      <c r="J28" s="19">
        <f t="shared" si="10"/>
        <v>270954</v>
      </c>
      <c r="K28" s="20">
        <f t="shared" si="10"/>
        <v>1370866</v>
      </c>
      <c r="L28" s="21">
        <f t="shared" si="10"/>
        <v>132881</v>
      </c>
      <c r="M28" s="20">
        <f t="shared" si="10"/>
        <v>132881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217</v>
      </c>
      <c r="Q28" s="43">
        <f t="shared" si="11"/>
        <v>265</v>
      </c>
      <c r="R28" s="23">
        <f t="shared" si="11"/>
        <v>4</v>
      </c>
      <c r="S28" s="24">
        <f t="shared" si="11"/>
        <v>115</v>
      </c>
      <c r="T28" s="24">
        <f t="shared" si="11"/>
        <v>2</v>
      </c>
      <c r="U28" s="24">
        <f t="shared" si="11"/>
        <v>0</v>
      </c>
      <c r="V28" s="25">
        <f t="shared" si="11"/>
        <v>0</v>
      </c>
      <c r="W28" s="26">
        <f t="shared" si="11"/>
        <v>120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24</v>
      </c>
      <c r="AB28" s="28">
        <f>AVERAGE(AB6:AB27)</f>
        <v>0.54680076628352492</v>
      </c>
      <c r="AC28" s="4">
        <f>AVERAGE(AC6:AC27)</f>
        <v>0.41098484848484856</v>
      </c>
      <c r="AD28" s="4">
        <f>AVERAGE(AD6:AD27)</f>
        <v>0.40807645419714389</v>
      </c>
      <c r="AE28" s="29"/>
    </row>
    <row r="29" spans="1:32">
      <c r="T29" s="50" t="s">
        <v>132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2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387" t="s">
        <v>45</v>
      </c>
      <c r="B55" s="387"/>
      <c r="C55" s="387"/>
      <c r="D55" s="387"/>
      <c r="E55" s="387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388" t="s">
        <v>853</v>
      </c>
      <c r="B56" s="389"/>
      <c r="C56" s="389"/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91" t="s">
        <v>858</v>
      </c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3"/>
    </row>
    <row r="57" spans="1:32" ht="27" customHeight="1">
      <c r="A57" s="394" t="s">
        <v>2</v>
      </c>
      <c r="B57" s="395"/>
      <c r="C57" s="342" t="s">
        <v>46</v>
      </c>
      <c r="D57" s="342" t="s">
        <v>47</v>
      </c>
      <c r="E57" s="342" t="s">
        <v>107</v>
      </c>
      <c r="F57" s="396" t="s">
        <v>106</v>
      </c>
      <c r="G57" s="397"/>
      <c r="H57" s="397"/>
      <c r="I57" s="397"/>
      <c r="J57" s="397"/>
      <c r="K57" s="397"/>
      <c r="L57" s="397"/>
      <c r="M57" s="398"/>
      <c r="N57" s="67" t="s">
        <v>110</v>
      </c>
      <c r="O57" s="342" t="s">
        <v>46</v>
      </c>
      <c r="P57" s="396" t="s">
        <v>47</v>
      </c>
      <c r="Q57" s="399"/>
      <c r="R57" s="396" t="s">
        <v>38</v>
      </c>
      <c r="S57" s="397"/>
      <c r="T57" s="397"/>
      <c r="U57" s="399"/>
      <c r="V57" s="396" t="s">
        <v>48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410" t="s">
        <v>116</v>
      </c>
      <c r="B58" s="411"/>
      <c r="C58" s="357" t="s">
        <v>152</v>
      </c>
      <c r="D58" s="357" t="s">
        <v>146</v>
      </c>
      <c r="E58" s="357" t="s">
        <v>811</v>
      </c>
      <c r="F58" s="412" t="s">
        <v>220</v>
      </c>
      <c r="G58" s="413"/>
      <c r="H58" s="413"/>
      <c r="I58" s="413"/>
      <c r="J58" s="413"/>
      <c r="K58" s="413"/>
      <c r="L58" s="413"/>
      <c r="M58" s="414"/>
      <c r="N58" s="356" t="s">
        <v>112</v>
      </c>
      <c r="O58" s="363" t="s">
        <v>151</v>
      </c>
      <c r="P58" s="415" t="s">
        <v>115</v>
      </c>
      <c r="Q58" s="416"/>
      <c r="R58" s="415" t="s">
        <v>813</v>
      </c>
      <c r="S58" s="417"/>
      <c r="T58" s="417"/>
      <c r="U58" s="416"/>
      <c r="V58" s="412" t="s">
        <v>220</v>
      </c>
      <c r="W58" s="413"/>
      <c r="X58" s="413"/>
      <c r="Y58" s="413"/>
      <c r="Z58" s="413"/>
      <c r="AA58" s="413"/>
      <c r="AB58" s="413"/>
      <c r="AC58" s="413"/>
      <c r="AD58" s="414"/>
    </row>
    <row r="59" spans="1:32" ht="27" customHeight="1">
      <c r="A59" s="410" t="s">
        <v>112</v>
      </c>
      <c r="B59" s="411"/>
      <c r="C59" s="344" t="s">
        <v>151</v>
      </c>
      <c r="D59" s="344" t="s">
        <v>146</v>
      </c>
      <c r="E59" s="357" t="s">
        <v>813</v>
      </c>
      <c r="F59" s="412" t="s">
        <v>846</v>
      </c>
      <c r="G59" s="413"/>
      <c r="H59" s="413"/>
      <c r="I59" s="413"/>
      <c r="J59" s="413"/>
      <c r="K59" s="413"/>
      <c r="L59" s="413"/>
      <c r="M59" s="414"/>
      <c r="N59" s="343" t="s">
        <v>112</v>
      </c>
      <c r="O59" s="350" t="s">
        <v>150</v>
      </c>
      <c r="P59" s="415" t="s">
        <v>115</v>
      </c>
      <c r="Q59" s="416"/>
      <c r="R59" s="415" t="s">
        <v>639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112</v>
      </c>
      <c r="B60" s="411"/>
      <c r="C60" s="357" t="s">
        <v>151</v>
      </c>
      <c r="D60" s="357" t="s">
        <v>115</v>
      </c>
      <c r="E60" s="357" t="s">
        <v>667</v>
      </c>
      <c r="F60" s="412" t="s">
        <v>854</v>
      </c>
      <c r="G60" s="413"/>
      <c r="H60" s="413"/>
      <c r="I60" s="413"/>
      <c r="J60" s="413"/>
      <c r="K60" s="413"/>
      <c r="L60" s="413"/>
      <c r="M60" s="414"/>
      <c r="N60" s="356" t="s">
        <v>563</v>
      </c>
      <c r="O60" s="363" t="s">
        <v>200</v>
      </c>
      <c r="P60" s="415"/>
      <c r="Q60" s="416"/>
      <c r="R60" s="415" t="s">
        <v>659</v>
      </c>
      <c r="S60" s="417"/>
      <c r="T60" s="417"/>
      <c r="U60" s="416"/>
      <c r="V60" s="412" t="s">
        <v>368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112</v>
      </c>
      <c r="B61" s="411"/>
      <c r="C61" s="357" t="s">
        <v>223</v>
      </c>
      <c r="D61" s="357" t="s">
        <v>115</v>
      </c>
      <c r="E61" s="357" t="s">
        <v>171</v>
      </c>
      <c r="F61" s="412" t="s">
        <v>220</v>
      </c>
      <c r="G61" s="413"/>
      <c r="H61" s="413"/>
      <c r="I61" s="413"/>
      <c r="J61" s="413"/>
      <c r="K61" s="413"/>
      <c r="L61" s="413"/>
      <c r="M61" s="414"/>
      <c r="N61" s="356" t="s">
        <v>563</v>
      </c>
      <c r="O61" s="363" t="s">
        <v>230</v>
      </c>
      <c r="P61" s="415"/>
      <c r="Q61" s="416"/>
      <c r="R61" s="415" t="s">
        <v>646</v>
      </c>
      <c r="S61" s="417"/>
      <c r="T61" s="417"/>
      <c r="U61" s="416"/>
      <c r="V61" s="412" t="s">
        <v>368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129</v>
      </c>
      <c r="B62" s="411"/>
      <c r="C62" s="357" t="s">
        <v>262</v>
      </c>
      <c r="D62" s="357" t="s">
        <v>115</v>
      </c>
      <c r="E62" s="357" t="s">
        <v>663</v>
      </c>
      <c r="F62" s="412" t="s">
        <v>220</v>
      </c>
      <c r="G62" s="413"/>
      <c r="H62" s="413"/>
      <c r="I62" s="413"/>
      <c r="J62" s="413"/>
      <c r="K62" s="413"/>
      <c r="L62" s="413"/>
      <c r="M62" s="414"/>
      <c r="N62" s="343" t="s">
        <v>861</v>
      </c>
      <c r="O62" s="350" t="s">
        <v>862</v>
      </c>
      <c r="P62" s="415" t="s">
        <v>863</v>
      </c>
      <c r="Q62" s="416"/>
      <c r="R62" s="415" t="s">
        <v>859</v>
      </c>
      <c r="S62" s="417"/>
      <c r="T62" s="417"/>
      <c r="U62" s="416"/>
      <c r="V62" s="412" t="s">
        <v>860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112</v>
      </c>
      <c r="B63" s="411"/>
      <c r="C63" s="344" t="s">
        <v>857</v>
      </c>
      <c r="D63" s="344" t="s">
        <v>115</v>
      </c>
      <c r="E63" s="344" t="s">
        <v>855</v>
      </c>
      <c r="F63" s="412" t="s">
        <v>856</v>
      </c>
      <c r="G63" s="413"/>
      <c r="H63" s="413"/>
      <c r="I63" s="413"/>
      <c r="J63" s="413"/>
      <c r="K63" s="413"/>
      <c r="L63" s="413"/>
      <c r="M63" s="414"/>
      <c r="N63" s="343"/>
      <c r="O63" s="350"/>
      <c r="P63" s="415"/>
      <c r="Q63" s="416"/>
      <c r="R63" s="415"/>
      <c r="S63" s="417"/>
      <c r="T63" s="417"/>
      <c r="U63" s="416"/>
      <c r="V63" s="412"/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/>
      <c r="B64" s="411"/>
      <c r="C64" s="344"/>
      <c r="D64" s="344"/>
      <c r="E64" s="344"/>
      <c r="F64" s="412"/>
      <c r="G64" s="413"/>
      <c r="H64" s="413"/>
      <c r="I64" s="413"/>
      <c r="J64" s="413"/>
      <c r="K64" s="413"/>
      <c r="L64" s="413"/>
      <c r="M64" s="414"/>
      <c r="N64" s="343"/>
      <c r="O64" s="350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26"/>
      <c r="B65" s="427"/>
      <c r="C65" s="347"/>
      <c r="D65" s="347"/>
      <c r="E65" s="344"/>
      <c r="F65" s="412"/>
      <c r="G65" s="413"/>
      <c r="H65" s="413"/>
      <c r="I65" s="413"/>
      <c r="J65" s="413"/>
      <c r="K65" s="413"/>
      <c r="L65" s="413"/>
      <c r="M65" s="414"/>
      <c r="N65" s="343"/>
      <c r="O65" s="350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/>
      <c r="B66" s="427"/>
      <c r="C66" s="347"/>
      <c r="D66" s="347"/>
      <c r="E66" s="344"/>
      <c r="F66" s="412"/>
      <c r="G66" s="413"/>
      <c r="H66" s="413"/>
      <c r="I66" s="413"/>
      <c r="J66" s="413"/>
      <c r="K66" s="413"/>
      <c r="L66" s="413"/>
      <c r="M66" s="414"/>
      <c r="N66" s="343"/>
      <c r="O66" s="350"/>
      <c r="P66" s="411"/>
      <c r="Q66" s="411"/>
      <c r="R66" s="411"/>
      <c r="S66" s="411"/>
      <c r="T66" s="411"/>
      <c r="U66" s="411"/>
      <c r="V66" s="412"/>
      <c r="W66" s="413"/>
      <c r="X66" s="413"/>
      <c r="Y66" s="413"/>
      <c r="Z66" s="413"/>
      <c r="AA66" s="413"/>
      <c r="AB66" s="413"/>
      <c r="AC66" s="413"/>
      <c r="AD66" s="414"/>
      <c r="AF66" s="81">
        <f>8*3000</f>
        <v>24000</v>
      </c>
    </row>
    <row r="67" spans="1:32" ht="27" customHeight="1" thickBot="1">
      <c r="A67" s="418"/>
      <c r="B67" s="419"/>
      <c r="C67" s="345"/>
      <c r="D67" s="346"/>
      <c r="E67" s="345"/>
      <c r="F67" s="420"/>
      <c r="G67" s="421"/>
      <c r="H67" s="421"/>
      <c r="I67" s="421"/>
      <c r="J67" s="421"/>
      <c r="K67" s="421"/>
      <c r="L67" s="421"/>
      <c r="M67" s="422"/>
      <c r="N67" s="106"/>
      <c r="O67" s="98"/>
      <c r="P67" s="423"/>
      <c r="Q67" s="423"/>
      <c r="R67" s="423"/>
      <c r="S67" s="423"/>
      <c r="T67" s="423"/>
      <c r="U67" s="423"/>
      <c r="V67" s="424"/>
      <c r="W67" s="424"/>
      <c r="X67" s="424"/>
      <c r="Y67" s="424"/>
      <c r="Z67" s="424"/>
      <c r="AA67" s="424"/>
      <c r="AB67" s="424"/>
      <c r="AC67" s="424"/>
      <c r="AD67" s="425"/>
      <c r="AF67" s="81">
        <f>16*3000</f>
        <v>48000</v>
      </c>
    </row>
    <row r="68" spans="1:32" ht="27.75" thickBot="1">
      <c r="A68" s="428" t="s">
        <v>864</v>
      </c>
      <c r="B68" s="428"/>
      <c r="C68" s="428"/>
      <c r="D68" s="428"/>
      <c r="E68" s="428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1">
        <v>24000</v>
      </c>
    </row>
    <row r="69" spans="1:32" ht="29.25" customHeight="1" thickBot="1">
      <c r="A69" s="429" t="s">
        <v>111</v>
      </c>
      <c r="B69" s="430"/>
      <c r="C69" s="348" t="s">
        <v>2</v>
      </c>
      <c r="D69" s="348" t="s">
        <v>37</v>
      </c>
      <c r="E69" s="348" t="s">
        <v>3</v>
      </c>
      <c r="F69" s="430" t="s">
        <v>109</v>
      </c>
      <c r="G69" s="430"/>
      <c r="H69" s="430"/>
      <c r="I69" s="430"/>
      <c r="J69" s="430"/>
      <c r="K69" s="430" t="s">
        <v>39</v>
      </c>
      <c r="L69" s="430"/>
      <c r="M69" s="348" t="s">
        <v>40</v>
      </c>
      <c r="N69" s="430" t="s">
        <v>41</v>
      </c>
      <c r="O69" s="430"/>
      <c r="P69" s="431" t="s">
        <v>42</v>
      </c>
      <c r="Q69" s="432"/>
      <c r="R69" s="431" t="s">
        <v>43</v>
      </c>
      <c r="S69" s="433"/>
      <c r="T69" s="433"/>
      <c r="U69" s="433"/>
      <c r="V69" s="433"/>
      <c r="W69" s="433"/>
      <c r="X69" s="433"/>
      <c r="Y69" s="433"/>
      <c r="Z69" s="433"/>
      <c r="AA69" s="432"/>
      <c r="AB69" s="430" t="s">
        <v>44</v>
      </c>
      <c r="AC69" s="430"/>
      <c r="AD69" s="434"/>
      <c r="AF69" s="81">
        <f>SUM(AF66:AF68)</f>
        <v>96000</v>
      </c>
    </row>
    <row r="70" spans="1:32" ht="25.5" customHeight="1">
      <c r="A70" s="435">
        <v>1</v>
      </c>
      <c r="B70" s="436"/>
      <c r="C70" s="99" t="s">
        <v>866</v>
      </c>
      <c r="D70" s="352"/>
      <c r="E70" s="349" t="s">
        <v>867</v>
      </c>
      <c r="F70" s="437" t="s">
        <v>865</v>
      </c>
      <c r="G70" s="438"/>
      <c r="H70" s="438"/>
      <c r="I70" s="438"/>
      <c r="J70" s="438"/>
      <c r="K70" s="438" t="s">
        <v>868</v>
      </c>
      <c r="L70" s="438"/>
      <c r="M70" s="51" t="s">
        <v>869</v>
      </c>
      <c r="N70" s="439" t="s">
        <v>862</v>
      </c>
      <c r="O70" s="439"/>
      <c r="P70" s="440">
        <v>60</v>
      </c>
      <c r="Q70" s="440"/>
      <c r="R70" s="441" t="s">
        <v>870</v>
      </c>
      <c r="S70" s="441"/>
      <c r="T70" s="441"/>
      <c r="U70" s="441"/>
      <c r="V70" s="441"/>
      <c r="W70" s="441"/>
      <c r="X70" s="441"/>
      <c r="Y70" s="441"/>
      <c r="Z70" s="441"/>
      <c r="AA70" s="441"/>
      <c r="AB70" s="438"/>
      <c r="AC70" s="438"/>
      <c r="AD70" s="442"/>
      <c r="AF70" s="50"/>
    </row>
    <row r="71" spans="1:32" ht="25.5" customHeight="1">
      <c r="A71" s="435">
        <v>2</v>
      </c>
      <c r="B71" s="436"/>
      <c r="C71" s="99" t="s">
        <v>872</v>
      </c>
      <c r="D71" s="352"/>
      <c r="E71" s="349" t="s">
        <v>867</v>
      </c>
      <c r="F71" s="437" t="s">
        <v>871</v>
      </c>
      <c r="G71" s="438"/>
      <c r="H71" s="438"/>
      <c r="I71" s="438"/>
      <c r="J71" s="438"/>
      <c r="K71" s="438" t="s">
        <v>873</v>
      </c>
      <c r="L71" s="438"/>
      <c r="M71" s="51" t="s">
        <v>874</v>
      </c>
      <c r="N71" s="439" t="s">
        <v>875</v>
      </c>
      <c r="O71" s="439"/>
      <c r="P71" s="440"/>
      <c r="Q71" s="440"/>
      <c r="R71" s="441" t="s">
        <v>876</v>
      </c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3</v>
      </c>
      <c r="B72" s="436"/>
      <c r="C72" s="99" t="s">
        <v>861</v>
      </c>
      <c r="D72" s="352"/>
      <c r="E72" s="349" t="s">
        <v>879</v>
      </c>
      <c r="F72" s="437" t="s">
        <v>877</v>
      </c>
      <c r="G72" s="438"/>
      <c r="H72" s="438"/>
      <c r="I72" s="438"/>
      <c r="J72" s="438"/>
      <c r="K72" s="438" t="s">
        <v>880</v>
      </c>
      <c r="L72" s="438"/>
      <c r="M72" s="51" t="s">
        <v>881</v>
      </c>
      <c r="N72" s="439" t="s">
        <v>882</v>
      </c>
      <c r="O72" s="439"/>
      <c r="P72" s="440">
        <v>50</v>
      </c>
      <c r="Q72" s="440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4</v>
      </c>
      <c r="B73" s="436"/>
      <c r="C73" s="99" t="s">
        <v>872</v>
      </c>
      <c r="D73" s="352"/>
      <c r="E73" s="349" t="s">
        <v>863</v>
      </c>
      <c r="F73" s="443" t="s">
        <v>878</v>
      </c>
      <c r="G73" s="444"/>
      <c r="H73" s="444"/>
      <c r="I73" s="444"/>
      <c r="J73" s="445"/>
      <c r="K73" s="438" t="s">
        <v>883</v>
      </c>
      <c r="L73" s="438"/>
      <c r="M73" s="51" t="s">
        <v>881</v>
      </c>
      <c r="N73" s="439" t="s">
        <v>882</v>
      </c>
      <c r="O73" s="439"/>
      <c r="P73" s="440">
        <v>100</v>
      </c>
      <c r="Q73" s="440"/>
      <c r="R73" s="441"/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5</v>
      </c>
      <c r="B74" s="436"/>
      <c r="C74" s="99"/>
      <c r="D74" s="352"/>
      <c r="E74" s="349"/>
      <c r="F74" s="443"/>
      <c r="G74" s="444"/>
      <c r="H74" s="444"/>
      <c r="I74" s="444"/>
      <c r="J74" s="445"/>
      <c r="K74" s="438"/>
      <c r="L74" s="438"/>
      <c r="M74" s="51"/>
      <c r="N74" s="439"/>
      <c r="O74" s="439"/>
      <c r="P74" s="440"/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6</v>
      </c>
      <c r="B75" s="436"/>
      <c r="C75" s="99"/>
      <c r="D75" s="352"/>
      <c r="E75" s="349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7</v>
      </c>
      <c r="B76" s="436"/>
      <c r="C76" s="99"/>
      <c r="D76" s="352"/>
      <c r="E76" s="349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8</v>
      </c>
      <c r="B77" s="436"/>
      <c r="C77" s="99"/>
      <c r="D77" s="352"/>
      <c r="E77" s="349"/>
      <c r="F77" s="437"/>
      <c r="G77" s="438"/>
      <c r="H77" s="438"/>
      <c r="I77" s="438"/>
      <c r="J77" s="438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9</v>
      </c>
      <c r="B78" s="436"/>
      <c r="C78" s="99"/>
      <c r="D78" s="352"/>
      <c r="E78" s="349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10</v>
      </c>
      <c r="B79" s="436"/>
      <c r="C79" s="99"/>
      <c r="D79" s="352"/>
      <c r="E79" s="349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6.25" customHeight="1" thickBot="1">
      <c r="A80" s="446" t="s">
        <v>884</v>
      </c>
      <c r="B80" s="446"/>
      <c r="C80" s="446"/>
      <c r="D80" s="446"/>
      <c r="E80" s="446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47" t="s">
        <v>111</v>
      </c>
      <c r="B81" s="448"/>
      <c r="C81" s="351" t="s">
        <v>2</v>
      </c>
      <c r="D81" s="351" t="s">
        <v>37</v>
      </c>
      <c r="E81" s="351" t="s">
        <v>120</v>
      </c>
      <c r="F81" s="449" t="s">
        <v>38</v>
      </c>
      <c r="G81" s="449"/>
      <c r="H81" s="449"/>
      <c r="I81" s="449"/>
      <c r="J81" s="449"/>
      <c r="K81" s="450" t="s">
        <v>58</v>
      </c>
      <c r="L81" s="451"/>
      <c r="M81" s="451"/>
      <c r="N81" s="451"/>
      <c r="O81" s="451"/>
      <c r="P81" s="451"/>
      <c r="Q81" s="451"/>
      <c r="R81" s="451"/>
      <c r="S81" s="452"/>
      <c r="T81" s="449" t="s">
        <v>49</v>
      </c>
      <c r="U81" s="449"/>
      <c r="V81" s="450" t="s">
        <v>50</v>
      </c>
      <c r="W81" s="452"/>
      <c r="X81" s="451" t="s">
        <v>51</v>
      </c>
      <c r="Y81" s="451"/>
      <c r="Z81" s="451"/>
      <c r="AA81" s="451"/>
      <c r="AB81" s="451"/>
      <c r="AC81" s="451"/>
      <c r="AD81" s="453"/>
      <c r="AF81" s="50"/>
    </row>
    <row r="82" spans="1:32" ht="33.75" customHeight="1">
      <c r="A82" s="462">
        <v>1</v>
      </c>
      <c r="B82" s="463"/>
      <c r="C82" s="353"/>
      <c r="D82" s="353"/>
      <c r="E82" s="65"/>
      <c r="F82" s="464"/>
      <c r="G82" s="465"/>
      <c r="H82" s="465"/>
      <c r="I82" s="465"/>
      <c r="J82" s="466"/>
      <c r="K82" s="467"/>
      <c r="L82" s="468"/>
      <c r="M82" s="468"/>
      <c r="N82" s="468"/>
      <c r="O82" s="468"/>
      <c r="P82" s="468"/>
      <c r="Q82" s="468"/>
      <c r="R82" s="468"/>
      <c r="S82" s="469"/>
      <c r="T82" s="470"/>
      <c r="U82" s="471"/>
      <c r="V82" s="472"/>
      <c r="W82" s="472"/>
      <c r="X82" s="473"/>
      <c r="Y82" s="473"/>
      <c r="Z82" s="473"/>
      <c r="AA82" s="473"/>
      <c r="AB82" s="473"/>
      <c r="AC82" s="473"/>
      <c r="AD82" s="474"/>
      <c r="AF82" s="50"/>
    </row>
    <row r="83" spans="1:32" ht="30" customHeight="1">
      <c r="A83" s="454">
        <f>A82+1</f>
        <v>2</v>
      </c>
      <c r="B83" s="455"/>
      <c r="C83" s="352"/>
      <c r="D83" s="352"/>
      <c r="E83" s="32"/>
      <c r="F83" s="455"/>
      <c r="G83" s="455"/>
      <c r="H83" s="455"/>
      <c r="I83" s="455"/>
      <c r="J83" s="455"/>
      <c r="K83" s="456"/>
      <c r="L83" s="457"/>
      <c r="M83" s="457"/>
      <c r="N83" s="457"/>
      <c r="O83" s="457"/>
      <c r="P83" s="457"/>
      <c r="Q83" s="457"/>
      <c r="R83" s="457"/>
      <c r="S83" s="458"/>
      <c r="T83" s="459"/>
      <c r="U83" s="459"/>
      <c r="V83" s="459"/>
      <c r="W83" s="459"/>
      <c r="X83" s="460"/>
      <c r="Y83" s="460"/>
      <c r="Z83" s="460"/>
      <c r="AA83" s="460"/>
      <c r="AB83" s="460"/>
      <c r="AC83" s="460"/>
      <c r="AD83" s="461"/>
      <c r="AF83" s="50"/>
    </row>
    <row r="84" spans="1:32" ht="30" customHeight="1">
      <c r="A84" s="454">
        <f t="shared" ref="A84:A88" si="12">A83+1</f>
        <v>3</v>
      </c>
      <c r="B84" s="455"/>
      <c r="C84" s="352"/>
      <c r="D84" s="352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si="12"/>
        <v>4</v>
      </c>
      <c r="B85" s="455"/>
      <c r="C85" s="352"/>
      <c r="D85" s="352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2"/>
        <v>5</v>
      </c>
      <c r="B86" s="455"/>
      <c r="C86" s="352"/>
      <c r="D86" s="352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2"/>
        <v>6</v>
      </c>
      <c r="B87" s="455"/>
      <c r="C87" s="352"/>
      <c r="D87" s="352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2"/>
        <v>7</v>
      </c>
      <c r="B88" s="455"/>
      <c r="C88" s="352"/>
      <c r="D88" s="352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6" thickBot="1">
      <c r="A89" s="446" t="s">
        <v>885</v>
      </c>
      <c r="B89" s="446"/>
      <c r="C89" s="446"/>
      <c r="D89" s="446"/>
      <c r="E89" s="446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75" t="s">
        <v>111</v>
      </c>
      <c r="B90" s="449"/>
      <c r="C90" s="476" t="s">
        <v>52</v>
      </c>
      <c r="D90" s="476"/>
      <c r="E90" s="476" t="s">
        <v>53</v>
      </c>
      <c r="F90" s="476"/>
      <c r="G90" s="476"/>
      <c r="H90" s="476"/>
      <c r="I90" s="476"/>
      <c r="J90" s="476"/>
      <c r="K90" s="476" t="s">
        <v>54</v>
      </c>
      <c r="L90" s="476"/>
      <c r="M90" s="476"/>
      <c r="N90" s="476"/>
      <c r="O90" s="476"/>
      <c r="P90" s="476"/>
      <c r="Q90" s="476"/>
      <c r="R90" s="476"/>
      <c r="S90" s="476"/>
      <c r="T90" s="476" t="s">
        <v>55</v>
      </c>
      <c r="U90" s="476"/>
      <c r="V90" s="476" t="s">
        <v>56</v>
      </c>
      <c r="W90" s="476"/>
      <c r="X90" s="476"/>
      <c r="Y90" s="476" t="s">
        <v>51</v>
      </c>
      <c r="Z90" s="476"/>
      <c r="AA90" s="476"/>
      <c r="AB90" s="476"/>
      <c r="AC90" s="476"/>
      <c r="AD90" s="477"/>
      <c r="AF90" s="50"/>
    </row>
    <row r="91" spans="1:32" ht="30.75" customHeight="1">
      <c r="A91" s="462">
        <v>1</v>
      </c>
      <c r="B91" s="463"/>
      <c r="C91" s="478"/>
      <c r="D91" s="478"/>
      <c r="E91" s="478"/>
      <c r="F91" s="478"/>
      <c r="G91" s="478"/>
      <c r="H91" s="478"/>
      <c r="I91" s="478"/>
      <c r="J91" s="478"/>
      <c r="K91" s="478"/>
      <c r="L91" s="478"/>
      <c r="M91" s="478"/>
      <c r="N91" s="478"/>
      <c r="O91" s="478"/>
      <c r="P91" s="478"/>
      <c r="Q91" s="478"/>
      <c r="R91" s="478"/>
      <c r="S91" s="478"/>
      <c r="T91" s="478"/>
      <c r="U91" s="478"/>
      <c r="V91" s="479"/>
      <c r="W91" s="479"/>
      <c r="X91" s="479"/>
      <c r="Y91" s="480"/>
      <c r="Z91" s="480"/>
      <c r="AA91" s="480"/>
      <c r="AB91" s="480"/>
      <c r="AC91" s="480"/>
      <c r="AD91" s="481"/>
      <c r="AF91" s="50"/>
    </row>
    <row r="92" spans="1:32" ht="30.75" customHeight="1">
      <c r="A92" s="454">
        <v>2</v>
      </c>
      <c r="B92" s="455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490"/>
      <c r="P92" s="490"/>
      <c r="Q92" s="490"/>
      <c r="R92" s="490"/>
      <c r="S92" s="490"/>
      <c r="T92" s="491"/>
      <c r="U92" s="491"/>
      <c r="V92" s="492"/>
      <c r="W92" s="492"/>
      <c r="X92" s="492"/>
      <c r="Y92" s="482"/>
      <c r="Z92" s="482"/>
      <c r="AA92" s="482"/>
      <c r="AB92" s="482"/>
      <c r="AC92" s="482"/>
      <c r="AD92" s="483"/>
      <c r="AF92" s="50"/>
    </row>
    <row r="93" spans="1:32" ht="30.75" customHeight="1" thickBot="1">
      <c r="A93" s="484">
        <v>3</v>
      </c>
      <c r="B93" s="485"/>
      <c r="C93" s="486"/>
      <c r="D93" s="486"/>
      <c r="E93" s="486"/>
      <c r="F93" s="486"/>
      <c r="G93" s="486"/>
      <c r="H93" s="486"/>
      <c r="I93" s="486"/>
      <c r="J93" s="486"/>
      <c r="K93" s="486"/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7"/>
      <c r="W93" s="487"/>
      <c r="X93" s="487"/>
      <c r="Y93" s="488"/>
      <c r="Z93" s="488"/>
      <c r="AA93" s="488"/>
      <c r="AB93" s="488"/>
      <c r="AC93" s="488"/>
      <c r="AD93" s="489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1239-731D-4CB0-BCF8-348E48B2FEE0}">
  <sheetPr>
    <pageSetUpPr fitToPage="1"/>
  </sheetPr>
  <dimension ref="A1:AF94"/>
  <sheetViews>
    <sheetView tabSelected="1" view="pageBreakPreview" zoomScale="70" zoomScaleNormal="72" zoomScaleSheetLayoutView="70" workbookViewId="0">
      <selection activeCell="A91" sqref="A91:B9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1" bestFit="1" customWidth="1"/>
    <col min="33" max="33" width="17.625" style="50" customWidth="1"/>
    <col min="34" max="16384" width="9" style="50"/>
  </cols>
  <sheetData>
    <row r="1" spans="1:32" ht="44.25" customHeight="1">
      <c r="A1" s="370" t="s">
        <v>886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6"/>
      <c r="T4" s="406"/>
      <c r="U4" s="406"/>
      <c r="V4" s="407"/>
      <c r="W4" s="406" t="s">
        <v>11</v>
      </c>
      <c r="X4" s="406"/>
      <c r="Y4" s="406"/>
      <c r="Z4" s="406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54" t="s">
        <v>17</v>
      </c>
      <c r="L5" s="354" t="s">
        <v>18</v>
      </c>
      <c r="M5" s="354" t="s">
        <v>19</v>
      </c>
      <c r="N5" s="3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27" customHeight="1">
      <c r="A6" s="107">
        <v>1</v>
      </c>
      <c r="B6" s="11" t="s">
        <v>57</v>
      </c>
      <c r="C6" s="34" t="s">
        <v>116</v>
      </c>
      <c r="D6" s="52" t="s">
        <v>146</v>
      </c>
      <c r="E6" s="53" t="s">
        <v>811</v>
      </c>
      <c r="F6" s="30" t="s">
        <v>570</v>
      </c>
      <c r="G6" s="12">
        <v>1</v>
      </c>
      <c r="H6" s="13">
        <v>24</v>
      </c>
      <c r="I6" s="31">
        <v>1000</v>
      </c>
      <c r="J6" s="14">
        <v>2771</v>
      </c>
      <c r="K6" s="15">
        <f>L6+2771</f>
        <v>2771</v>
      </c>
      <c r="L6" s="15"/>
      <c r="M6" s="15">
        <f t="shared" ref="M6:M28" si="0">L6-N6</f>
        <v>0</v>
      </c>
      <c r="N6" s="15">
        <v>0</v>
      </c>
      <c r="O6" s="58" t="str">
        <f t="shared" ref="O6:O29" si="1">IF(L6=0,"0",N6/L6)</f>
        <v>0</v>
      </c>
      <c r="P6" s="39" t="str">
        <f t="shared" ref="P6:P28" si="2">IF(L6=0,"0",(24-Q6))</f>
        <v>0</v>
      </c>
      <c r="Q6" s="40">
        <f t="shared" ref="Q6:Q28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8" si="4">IF(J6=0,"0",(L6/J6))</f>
        <v>0</v>
      </c>
      <c r="AC6" s="9">
        <f t="shared" ref="AC6:AC28" si="5">IF(P6=0,"0",(P6/24))</f>
        <v>0</v>
      </c>
      <c r="AD6" s="10">
        <f>AC6*AB6*(1-O6)</f>
        <v>0</v>
      </c>
      <c r="AE6" s="36">
        <f>$AD$29</f>
        <v>0.55978260869565222</v>
      </c>
      <c r="AF6" s="81">
        <f t="shared" ref="AF6:AF28" si="6">A6</f>
        <v>1</v>
      </c>
    </row>
    <row r="7" spans="1:32" ht="27" customHeight="1">
      <c r="A7" s="107">
        <v>2</v>
      </c>
      <c r="B7" s="11" t="s">
        <v>57</v>
      </c>
      <c r="C7" s="34" t="s">
        <v>112</v>
      </c>
      <c r="D7" s="52" t="s">
        <v>146</v>
      </c>
      <c r="E7" s="53" t="s">
        <v>178</v>
      </c>
      <c r="F7" s="30" t="s">
        <v>145</v>
      </c>
      <c r="G7" s="12">
        <v>1</v>
      </c>
      <c r="H7" s="13">
        <v>24</v>
      </c>
      <c r="I7" s="31">
        <v>190000</v>
      </c>
      <c r="J7" s="14">
        <v>11534</v>
      </c>
      <c r="K7" s="15">
        <f>L7+8898+11520+11558+11486+11566+10872+10958</f>
        <v>88392</v>
      </c>
      <c r="L7" s="15">
        <f>2901*2+2866*2</f>
        <v>11534</v>
      </c>
      <c r="M7" s="15">
        <f t="shared" si="0"/>
        <v>11534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ref="AD7:AD28" si="7">AC7*AB7*(1-O7)</f>
        <v>1</v>
      </c>
      <c r="AE7" s="36">
        <f>$AD$29</f>
        <v>0.55978260869565222</v>
      </c>
      <c r="AF7" s="81">
        <f t="shared" si="6"/>
        <v>2</v>
      </c>
    </row>
    <row r="8" spans="1:32" ht="27" customHeight="1">
      <c r="A8" s="93">
        <v>3</v>
      </c>
      <c r="B8" s="11" t="s">
        <v>57</v>
      </c>
      <c r="C8" s="34" t="s">
        <v>112</v>
      </c>
      <c r="D8" s="52" t="s">
        <v>115</v>
      </c>
      <c r="E8" s="53" t="s">
        <v>813</v>
      </c>
      <c r="F8" s="30" t="s">
        <v>209</v>
      </c>
      <c r="G8" s="12">
        <v>1</v>
      </c>
      <c r="H8" s="13">
        <v>22</v>
      </c>
      <c r="I8" s="31">
        <v>200</v>
      </c>
      <c r="J8" s="5">
        <v>420</v>
      </c>
      <c r="K8" s="15">
        <f>L8</f>
        <v>420</v>
      </c>
      <c r="L8" s="15">
        <v>420</v>
      </c>
      <c r="M8" s="15">
        <f t="shared" si="0"/>
        <v>420</v>
      </c>
      <c r="N8" s="15">
        <v>0</v>
      </c>
      <c r="O8" s="58">
        <f t="shared" si="1"/>
        <v>0</v>
      </c>
      <c r="P8" s="39">
        <f t="shared" si="2"/>
        <v>6</v>
      </c>
      <c r="Q8" s="40">
        <f t="shared" si="3"/>
        <v>18</v>
      </c>
      <c r="R8" s="7"/>
      <c r="S8" s="6"/>
      <c r="T8" s="16"/>
      <c r="U8" s="16"/>
      <c r="V8" s="17"/>
      <c r="W8" s="5">
        <v>18</v>
      </c>
      <c r="X8" s="16"/>
      <c r="Y8" s="16"/>
      <c r="Z8" s="16"/>
      <c r="AA8" s="18"/>
      <c r="AB8" s="8">
        <f t="shared" si="4"/>
        <v>1</v>
      </c>
      <c r="AC8" s="9">
        <f t="shared" si="5"/>
        <v>0.25</v>
      </c>
      <c r="AD8" s="10">
        <f t="shared" si="7"/>
        <v>0.25</v>
      </c>
      <c r="AE8" s="36">
        <f>$AD$29</f>
        <v>0.55978260869565222</v>
      </c>
      <c r="AF8" s="81">
        <f t="shared" si="6"/>
        <v>3</v>
      </c>
    </row>
    <row r="9" spans="1:32" ht="27" customHeight="1">
      <c r="A9" s="93">
        <v>3</v>
      </c>
      <c r="B9" s="11" t="s">
        <v>57</v>
      </c>
      <c r="C9" s="34" t="s">
        <v>116</v>
      </c>
      <c r="D9" s="52" t="s">
        <v>131</v>
      </c>
      <c r="E9" s="53" t="s">
        <v>887</v>
      </c>
      <c r="F9" s="30" t="s">
        <v>124</v>
      </c>
      <c r="G9" s="12">
        <v>2</v>
      </c>
      <c r="H9" s="13">
        <v>22</v>
      </c>
      <c r="I9" s="31">
        <v>90000</v>
      </c>
      <c r="J9" s="5">
        <v>8120</v>
      </c>
      <c r="K9" s="15">
        <f>L9</f>
        <v>8120</v>
      </c>
      <c r="L9" s="15">
        <f>2910*2+1150*2</f>
        <v>8120</v>
      </c>
      <c r="M9" s="15">
        <f t="shared" ref="M9" si="8">L9-N9</f>
        <v>8120</v>
      </c>
      <c r="N9" s="15">
        <v>0</v>
      </c>
      <c r="O9" s="58">
        <f t="shared" ref="O9" si="9">IF(L9=0,"0",N9/L9)</f>
        <v>0</v>
      </c>
      <c r="P9" s="39">
        <f t="shared" ref="P9" si="10">IF(L9=0,"0",(24-Q9))</f>
        <v>17</v>
      </c>
      <c r="Q9" s="40">
        <f t="shared" ref="Q9" si="11">SUM(R9:AA9)</f>
        <v>7</v>
      </c>
      <c r="R9" s="7"/>
      <c r="S9" s="6"/>
      <c r="T9" s="16">
        <v>7</v>
      </c>
      <c r="U9" s="16"/>
      <c r="V9" s="17"/>
      <c r="W9" s="5"/>
      <c r="X9" s="16"/>
      <c r="Y9" s="16"/>
      <c r="Z9" s="16"/>
      <c r="AA9" s="18"/>
      <c r="AB9" s="8">
        <f t="shared" ref="AB9" si="12">IF(J9=0,"0",(L9/J9))</f>
        <v>1</v>
      </c>
      <c r="AC9" s="9">
        <f t="shared" ref="AC9" si="13">IF(P9=0,"0",(P9/24))</f>
        <v>0.70833333333333337</v>
      </c>
      <c r="AD9" s="10">
        <f t="shared" ref="AD9" si="14">AC9*AB9*(1-O9)</f>
        <v>0.70833333333333337</v>
      </c>
      <c r="AE9" s="36">
        <f>$AD$29</f>
        <v>0.55978260869565222</v>
      </c>
      <c r="AF9" s="81">
        <f t="shared" ref="AF9" si="15">A9</f>
        <v>3</v>
      </c>
    </row>
    <row r="10" spans="1:32" ht="27" customHeight="1">
      <c r="A10" s="93">
        <v>4</v>
      </c>
      <c r="B10" s="11" t="s">
        <v>57</v>
      </c>
      <c r="C10" s="34" t="s">
        <v>116</v>
      </c>
      <c r="D10" s="52" t="s">
        <v>888</v>
      </c>
      <c r="E10" s="53" t="s">
        <v>889</v>
      </c>
      <c r="F10" s="30" t="s">
        <v>124</v>
      </c>
      <c r="G10" s="12">
        <v>2</v>
      </c>
      <c r="H10" s="13">
        <v>24</v>
      </c>
      <c r="I10" s="7">
        <v>2000</v>
      </c>
      <c r="J10" s="14">
        <v>5004</v>
      </c>
      <c r="K10" s="15">
        <f>L10</f>
        <v>5004</v>
      </c>
      <c r="L10" s="15">
        <f>2502*2</f>
        <v>5004</v>
      </c>
      <c r="M10" s="15">
        <f t="shared" si="0"/>
        <v>5004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>
        <v>13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si="7"/>
        <v>0.45833333333333331</v>
      </c>
      <c r="AE10" s="36">
        <f>$AD$29</f>
        <v>0.55978260869565222</v>
      </c>
      <c r="AF10" s="81">
        <f t="shared" si="6"/>
        <v>4</v>
      </c>
    </row>
    <row r="11" spans="1:32" ht="27" customHeight="1">
      <c r="A11" s="93">
        <v>5</v>
      </c>
      <c r="B11" s="11" t="s">
        <v>57</v>
      </c>
      <c r="C11" s="11" t="s">
        <v>563</v>
      </c>
      <c r="D11" s="52"/>
      <c r="E11" s="53" t="s">
        <v>608</v>
      </c>
      <c r="F11" s="30" t="s">
        <v>282</v>
      </c>
      <c r="G11" s="33">
        <v>2</v>
      </c>
      <c r="H11" s="35">
        <v>24</v>
      </c>
      <c r="I11" s="7">
        <v>73000</v>
      </c>
      <c r="J11" s="14">
        <v>9060</v>
      </c>
      <c r="K11" s="15">
        <f>L11+8462+9820+9820+10676+11024+11102+10440+9772</f>
        <v>90176</v>
      </c>
      <c r="L11" s="15">
        <f>1723*2+2807*2</f>
        <v>9060</v>
      </c>
      <c r="M11" s="15">
        <f t="shared" si="0"/>
        <v>9060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/>
      <c r="T11" s="16"/>
      <c r="U11" s="16"/>
      <c r="V11" s="17"/>
      <c r="W11" s="5">
        <v>2</v>
      </c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7"/>
        <v>0.91666666666666663</v>
      </c>
      <c r="AE11" s="36">
        <f>$AD$29</f>
        <v>0.55978260869565222</v>
      </c>
      <c r="AF11" s="81">
        <f t="shared" si="6"/>
        <v>5</v>
      </c>
    </row>
    <row r="12" spans="1:32" ht="27" customHeight="1">
      <c r="A12" s="93">
        <v>6</v>
      </c>
      <c r="B12" s="11" t="s">
        <v>57</v>
      </c>
      <c r="C12" s="11" t="s">
        <v>129</v>
      </c>
      <c r="D12" s="52" t="s">
        <v>374</v>
      </c>
      <c r="E12" s="53" t="s">
        <v>890</v>
      </c>
      <c r="F12" s="30" t="s">
        <v>123</v>
      </c>
      <c r="G12" s="33">
        <v>1</v>
      </c>
      <c r="H12" s="35">
        <v>24</v>
      </c>
      <c r="I12" s="7">
        <v>1000</v>
      </c>
      <c r="J12" s="14">
        <v>2025</v>
      </c>
      <c r="K12" s="15">
        <f>L12</f>
        <v>2025</v>
      </c>
      <c r="L12" s="15">
        <f>637+1388</f>
        <v>2025</v>
      </c>
      <c r="M12" s="15">
        <f t="shared" si="0"/>
        <v>2025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7"/>
        <v>0.45833333333333331</v>
      </c>
      <c r="AE12" s="36">
        <f>$AD$29</f>
        <v>0.55978260869565222</v>
      </c>
      <c r="AF12" s="81">
        <f t="shared" si="6"/>
        <v>6</v>
      </c>
    </row>
    <row r="13" spans="1:32" ht="27" customHeight="1">
      <c r="A13" s="93">
        <v>7</v>
      </c>
      <c r="B13" s="11" t="s">
        <v>57</v>
      </c>
      <c r="C13" s="34" t="s">
        <v>116</v>
      </c>
      <c r="D13" s="52" t="s">
        <v>115</v>
      </c>
      <c r="E13" s="53" t="s">
        <v>164</v>
      </c>
      <c r="F13" s="30" t="s">
        <v>123</v>
      </c>
      <c r="G13" s="12">
        <v>1</v>
      </c>
      <c r="H13" s="13">
        <v>22</v>
      </c>
      <c r="I13" s="31">
        <f>70000+110000</f>
        <v>180000</v>
      </c>
      <c r="J13" s="5">
        <v>5035</v>
      </c>
      <c r="K13" s="15">
        <f>L13+5056+5299+5142+4725+5285+5308+3502+5153+5075+5268+5338+5267+5184+5110+5267+5309+13944+5077+5113+5283+5335+5351+3987+5016+5288+5339+5296+5335+4973+3958</f>
        <v>165618</v>
      </c>
      <c r="L13" s="15">
        <f>2674+2361</f>
        <v>5035</v>
      </c>
      <c r="M13" s="15">
        <f t="shared" si="0"/>
        <v>5035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7"/>
        <v>1</v>
      </c>
      <c r="AE13" s="36">
        <f>$AD$29</f>
        <v>0.55978260869565222</v>
      </c>
      <c r="AF13" s="81">
        <f t="shared" si="6"/>
        <v>7</v>
      </c>
    </row>
    <row r="14" spans="1:32" ht="27" customHeight="1">
      <c r="A14" s="93">
        <v>8</v>
      </c>
      <c r="B14" s="11" t="s">
        <v>57</v>
      </c>
      <c r="C14" s="11" t="s">
        <v>129</v>
      </c>
      <c r="D14" s="52" t="s">
        <v>157</v>
      </c>
      <c r="E14" s="53" t="s">
        <v>891</v>
      </c>
      <c r="F14" s="30" t="s">
        <v>123</v>
      </c>
      <c r="G14" s="33">
        <v>1</v>
      </c>
      <c r="H14" s="35">
        <v>22</v>
      </c>
      <c r="I14" s="7">
        <v>2500</v>
      </c>
      <c r="J14" s="14">
        <v>3126</v>
      </c>
      <c r="K14" s="15">
        <f>L14</f>
        <v>3126</v>
      </c>
      <c r="L14" s="15">
        <f>2155+971</f>
        <v>3126</v>
      </c>
      <c r="M14" s="15">
        <f t="shared" si="0"/>
        <v>3126</v>
      </c>
      <c r="N14" s="15">
        <v>0</v>
      </c>
      <c r="O14" s="58">
        <f t="shared" si="1"/>
        <v>0</v>
      </c>
      <c r="P14" s="39">
        <f t="shared" si="2"/>
        <v>21</v>
      </c>
      <c r="Q14" s="40">
        <f t="shared" si="3"/>
        <v>3</v>
      </c>
      <c r="R14" s="7"/>
      <c r="S14" s="6">
        <v>3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0.875</v>
      </c>
      <c r="AD14" s="10">
        <f t="shared" si="7"/>
        <v>0.875</v>
      </c>
      <c r="AE14" s="36">
        <f>$AD$29</f>
        <v>0.55978260869565222</v>
      </c>
      <c r="AF14" s="81">
        <f t="shared" si="6"/>
        <v>8</v>
      </c>
    </row>
    <row r="15" spans="1:32" ht="27" customHeight="1">
      <c r="A15" s="100">
        <v>9</v>
      </c>
      <c r="B15" s="11" t="s">
        <v>57</v>
      </c>
      <c r="C15" s="34" t="s">
        <v>112</v>
      </c>
      <c r="D15" s="52" t="s">
        <v>115</v>
      </c>
      <c r="E15" s="53" t="s">
        <v>892</v>
      </c>
      <c r="F15" s="30" t="s">
        <v>165</v>
      </c>
      <c r="G15" s="33">
        <v>1</v>
      </c>
      <c r="H15" s="35">
        <v>50</v>
      </c>
      <c r="I15" s="7">
        <v>500</v>
      </c>
      <c r="J15" s="5">
        <v>651</v>
      </c>
      <c r="K15" s="15">
        <f>L15</f>
        <v>651</v>
      </c>
      <c r="L15" s="15">
        <v>651</v>
      </c>
      <c r="M15" s="15">
        <f t="shared" si="0"/>
        <v>651</v>
      </c>
      <c r="N15" s="15">
        <v>0</v>
      </c>
      <c r="O15" s="58">
        <f t="shared" si="1"/>
        <v>0</v>
      </c>
      <c r="P15" s="39">
        <f t="shared" si="2"/>
        <v>8</v>
      </c>
      <c r="Q15" s="40">
        <f t="shared" si="3"/>
        <v>16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16</v>
      </c>
      <c r="AB15" s="8">
        <f t="shared" si="4"/>
        <v>1</v>
      </c>
      <c r="AC15" s="9">
        <f t="shared" si="5"/>
        <v>0.33333333333333331</v>
      </c>
      <c r="AD15" s="10">
        <f t="shared" si="7"/>
        <v>0.33333333333333331</v>
      </c>
      <c r="AE15" s="36">
        <f>$AD$29</f>
        <v>0.55978260869565222</v>
      </c>
      <c r="AF15" s="81">
        <f t="shared" si="6"/>
        <v>9</v>
      </c>
    </row>
    <row r="16" spans="1:32" ht="27" customHeight="1">
      <c r="A16" s="107">
        <v>10</v>
      </c>
      <c r="B16" s="11" t="s">
        <v>57</v>
      </c>
      <c r="C16" s="34" t="s">
        <v>112</v>
      </c>
      <c r="D16" s="52" t="s">
        <v>146</v>
      </c>
      <c r="E16" s="53" t="s">
        <v>610</v>
      </c>
      <c r="F16" s="30" t="s">
        <v>148</v>
      </c>
      <c r="G16" s="12">
        <v>1</v>
      </c>
      <c r="H16" s="13">
        <v>24</v>
      </c>
      <c r="I16" s="31">
        <v>3300</v>
      </c>
      <c r="J16" s="14">
        <v>4832</v>
      </c>
      <c r="K16" s="15">
        <f>L16+4832</f>
        <v>4832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7"/>
        <v>0</v>
      </c>
      <c r="AE16" s="36">
        <f>$AD$29</f>
        <v>0.55978260869565222</v>
      </c>
      <c r="AF16" s="81">
        <f t="shared" si="6"/>
        <v>10</v>
      </c>
    </row>
    <row r="17" spans="1:32" ht="27" customHeight="1">
      <c r="A17" s="107">
        <v>11</v>
      </c>
      <c r="B17" s="11" t="s">
        <v>57</v>
      </c>
      <c r="C17" s="34" t="s">
        <v>563</v>
      </c>
      <c r="D17" s="52"/>
      <c r="E17" s="53" t="s">
        <v>659</v>
      </c>
      <c r="F17" s="30" t="s">
        <v>161</v>
      </c>
      <c r="G17" s="12">
        <v>2</v>
      </c>
      <c r="H17" s="13">
        <v>24</v>
      </c>
      <c r="I17" s="7">
        <v>73000</v>
      </c>
      <c r="J17" s="14">
        <v>3676</v>
      </c>
      <c r="K17" s="15">
        <f>L17+10730+9070+9850+12188+10512</f>
        <v>56026</v>
      </c>
      <c r="L17" s="15">
        <f>1838*2</f>
        <v>3676</v>
      </c>
      <c r="M17" s="15">
        <f t="shared" si="0"/>
        <v>3676</v>
      </c>
      <c r="N17" s="15">
        <v>0</v>
      </c>
      <c r="O17" s="58">
        <f t="shared" si="1"/>
        <v>0</v>
      </c>
      <c r="P17" s="39">
        <f t="shared" si="2"/>
        <v>9</v>
      </c>
      <c r="Q17" s="40">
        <f t="shared" si="3"/>
        <v>15</v>
      </c>
      <c r="R17" s="7"/>
      <c r="S17" s="6">
        <v>15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0.375</v>
      </c>
      <c r="AD17" s="10">
        <f t="shared" si="7"/>
        <v>0.375</v>
      </c>
      <c r="AE17" s="36">
        <f>$AD$29</f>
        <v>0.55978260869565222</v>
      </c>
      <c r="AF17" s="81">
        <f t="shared" si="6"/>
        <v>11</v>
      </c>
    </row>
    <row r="18" spans="1:32" ht="27" customHeight="1">
      <c r="A18" s="107">
        <v>12</v>
      </c>
      <c r="B18" s="11" t="s">
        <v>57</v>
      </c>
      <c r="C18" s="34" t="s">
        <v>129</v>
      </c>
      <c r="D18" s="52" t="s">
        <v>121</v>
      </c>
      <c r="E18" s="53" t="s">
        <v>893</v>
      </c>
      <c r="F18" s="30" t="s">
        <v>278</v>
      </c>
      <c r="G18" s="12">
        <v>4</v>
      </c>
      <c r="H18" s="13">
        <v>24</v>
      </c>
      <c r="I18" s="7">
        <v>20000</v>
      </c>
      <c r="J18" s="14">
        <v>9544</v>
      </c>
      <c r="K18" s="15">
        <f>L18</f>
        <v>9544</v>
      </c>
      <c r="L18" s="15">
        <f>2386*4</f>
        <v>9544</v>
      </c>
      <c r="M18" s="15">
        <f t="shared" si="0"/>
        <v>9544</v>
      </c>
      <c r="N18" s="15">
        <v>0</v>
      </c>
      <c r="O18" s="58">
        <f t="shared" si="1"/>
        <v>0</v>
      </c>
      <c r="P18" s="39">
        <f t="shared" si="2"/>
        <v>12</v>
      </c>
      <c r="Q18" s="40">
        <f t="shared" si="3"/>
        <v>12</v>
      </c>
      <c r="R18" s="7"/>
      <c r="S18" s="6">
        <v>12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</v>
      </c>
      <c r="AD18" s="10">
        <f t="shared" si="7"/>
        <v>0.5</v>
      </c>
      <c r="AE18" s="36">
        <f>$AD$29</f>
        <v>0.55978260869565222</v>
      </c>
      <c r="AF18" s="81">
        <f t="shared" si="6"/>
        <v>12</v>
      </c>
    </row>
    <row r="19" spans="1:32" ht="27" customHeight="1">
      <c r="A19" s="93">
        <v>13</v>
      </c>
      <c r="B19" s="11" t="s">
        <v>57</v>
      </c>
      <c r="C19" s="34" t="s">
        <v>112</v>
      </c>
      <c r="D19" s="52" t="s">
        <v>128</v>
      </c>
      <c r="E19" s="53" t="s">
        <v>735</v>
      </c>
      <c r="F19" s="30" t="s">
        <v>130</v>
      </c>
      <c r="G19" s="12">
        <v>1</v>
      </c>
      <c r="H19" s="13">
        <v>22</v>
      </c>
      <c r="I19" s="31">
        <v>32000</v>
      </c>
      <c r="J19" s="5">
        <v>5338</v>
      </c>
      <c r="K19" s="15">
        <f>L19+3632+827+4487+5186+5334</f>
        <v>24804</v>
      </c>
      <c r="L19" s="15">
        <f>2620+2718</f>
        <v>5338</v>
      </c>
      <c r="M19" s="15">
        <f t="shared" si="0"/>
        <v>5338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7"/>
        <v>1</v>
      </c>
      <c r="AE19" s="36">
        <f>$AD$29</f>
        <v>0.55978260869565222</v>
      </c>
      <c r="AF19" s="81">
        <f t="shared" si="6"/>
        <v>13</v>
      </c>
    </row>
    <row r="20" spans="1:32" ht="27" customHeight="1">
      <c r="A20" s="93">
        <v>14</v>
      </c>
      <c r="B20" s="11" t="s">
        <v>57</v>
      </c>
      <c r="C20" s="11" t="s">
        <v>129</v>
      </c>
      <c r="D20" s="52" t="s">
        <v>115</v>
      </c>
      <c r="E20" s="53" t="s">
        <v>663</v>
      </c>
      <c r="F20" s="30" t="s">
        <v>282</v>
      </c>
      <c r="G20" s="33">
        <v>2</v>
      </c>
      <c r="H20" s="35">
        <v>24</v>
      </c>
      <c r="I20" s="7">
        <v>32000</v>
      </c>
      <c r="J20" s="14">
        <v>6859</v>
      </c>
      <c r="K20" s="15">
        <f>L20+7323+6344+4210+6874</f>
        <v>31610</v>
      </c>
      <c r="L20" s="15">
        <f>3003*2+853</f>
        <v>6859</v>
      </c>
      <c r="M20" s="15">
        <f t="shared" si="0"/>
        <v>6859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7"/>
        <v>0.625</v>
      </c>
      <c r="AE20" s="36">
        <f>$AD$29</f>
        <v>0.55978260869565222</v>
      </c>
      <c r="AF20" s="81">
        <f t="shared" si="6"/>
        <v>14</v>
      </c>
    </row>
    <row r="21" spans="1:32" ht="27" customHeight="1">
      <c r="A21" s="107">
        <v>15</v>
      </c>
      <c r="B21" s="11" t="s">
        <v>57</v>
      </c>
      <c r="C21" s="11" t="s">
        <v>112</v>
      </c>
      <c r="D21" s="52" t="s">
        <v>115</v>
      </c>
      <c r="E21" s="53" t="s">
        <v>171</v>
      </c>
      <c r="F21" s="30" t="s">
        <v>144</v>
      </c>
      <c r="G21" s="33">
        <v>2</v>
      </c>
      <c r="H21" s="35">
        <v>24</v>
      </c>
      <c r="I21" s="7">
        <v>190000</v>
      </c>
      <c r="J21" s="14">
        <v>11036</v>
      </c>
      <c r="K21" s="15">
        <f>L21+2429+7472+8688+7444</f>
        <v>37069</v>
      </c>
      <c r="L21" s="15">
        <f>2776*2+2742*2</f>
        <v>11036</v>
      </c>
      <c r="M21" s="15">
        <f t="shared" si="0"/>
        <v>11036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7"/>
        <v>1</v>
      </c>
      <c r="AE21" s="36">
        <f>$AD$29</f>
        <v>0.55978260869565222</v>
      </c>
      <c r="AF21" s="81">
        <f t="shared" si="6"/>
        <v>15</v>
      </c>
    </row>
    <row r="22" spans="1:32" ht="26.25" customHeight="1">
      <c r="A22" s="93">
        <v>16</v>
      </c>
      <c r="B22" s="11" t="s">
        <v>57</v>
      </c>
      <c r="C22" s="11" t="s">
        <v>113</v>
      </c>
      <c r="D22" s="52"/>
      <c r="E22" s="53" t="s">
        <v>894</v>
      </c>
      <c r="F22" s="12" t="s">
        <v>114</v>
      </c>
      <c r="G22" s="12">
        <v>4</v>
      </c>
      <c r="H22" s="35">
        <v>20</v>
      </c>
      <c r="I22" s="7">
        <v>2000000</v>
      </c>
      <c r="J22" s="14">
        <v>36728</v>
      </c>
      <c r="K22" s="15">
        <f>L22+34748+57176+64908+60896+57820+63964+64184+45828+40364+44068+59984</f>
        <v>630668</v>
      </c>
      <c r="L22" s="15">
        <f>1067*4+8115*4</f>
        <v>36728</v>
      </c>
      <c r="M22" s="15">
        <f t="shared" si="0"/>
        <v>36728</v>
      </c>
      <c r="N22" s="15">
        <v>0</v>
      </c>
      <c r="O22" s="58">
        <f t="shared" si="1"/>
        <v>0</v>
      </c>
      <c r="P22" s="39">
        <f t="shared" si="2"/>
        <v>18</v>
      </c>
      <c r="Q22" s="40">
        <f t="shared" si="3"/>
        <v>6</v>
      </c>
      <c r="R22" s="7"/>
      <c r="S22" s="6">
        <v>6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0.75</v>
      </c>
      <c r="AD22" s="10">
        <f t="shared" si="7"/>
        <v>0.75</v>
      </c>
      <c r="AE22" s="36">
        <f>$AD$29</f>
        <v>0.55978260869565222</v>
      </c>
      <c r="AF22" s="81">
        <f t="shared" si="6"/>
        <v>16</v>
      </c>
    </row>
    <row r="23" spans="1:32" ht="21.75" customHeight="1">
      <c r="A23" s="93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 t="shared" ref="K23:K24" si="16"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7"/>
        <v>0</v>
      </c>
      <c r="AE23" s="36">
        <f>$AD$29</f>
        <v>0.55978260869565222</v>
      </c>
      <c r="AF23" s="81">
        <f t="shared" si="6"/>
        <v>31</v>
      </c>
    </row>
    <row r="24" spans="1:32" ht="21.75" customHeight="1">
      <c r="A24" s="93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 t="shared" si="16"/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7"/>
        <v>0</v>
      </c>
      <c r="AE24" s="36">
        <f>$AD$29</f>
        <v>0.55978260869565222</v>
      </c>
      <c r="AF24" s="81">
        <f t="shared" si="6"/>
        <v>32</v>
      </c>
    </row>
    <row r="25" spans="1:32" ht="21.75" customHeight="1">
      <c r="A25" s="93">
        <v>33</v>
      </c>
      <c r="B25" s="11" t="s">
        <v>57</v>
      </c>
      <c r="C25" s="11" t="s">
        <v>116</v>
      </c>
      <c r="D25" s="52" t="s">
        <v>170</v>
      </c>
      <c r="E25" s="53" t="s">
        <v>895</v>
      </c>
      <c r="F25" s="12" t="s">
        <v>124</v>
      </c>
      <c r="G25" s="12">
        <v>4</v>
      </c>
      <c r="H25" s="35">
        <v>20</v>
      </c>
      <c r="I25" s="7">
        <v>36000</v>
      </c>
      <c r="J25" s="14">
        <v>20368</v>
      </c>
      <c r="K25" s="15">
        <f>L25</f>
        <v>20368</v>
      </c>
      <c r="L25" s="15">
        <f>1376*4+3716*4</f>
        <v>20368</v>
      </c>
      <c r="M25" s="15">
        <f t="shared" si="0"/>
        <v>20368</v>
      </c>
      <c r="N25" s="15">
        <v>0</v>
      </c>
      <c r="O25" s="58">
        <f t="shared" si="1"/>
        <v>0</v>
      </c>
      <c r="P25" s="39">
        <f t="shared" si="2"/>
        <v>20</v>
      </c>
      <c r="Q25" s="40">
        <f t="shared" si="3"/>
        <v>4</v>
      </c>
      <c r="R25" s="7"/>
      <c r="S25" s="6"/>
      <c r="T25" s="16">
        <v>4</v>
      </c>
      <c r="U25" s="16"/>
      <c r="V25" s="115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0.83333333333333337</v>
      </c>
      <c r="AD25" s="10">
        <f t="shared" si="7"/>
        <v>0.83333333333333337</v>
      </c>
      <c r="AE25" s="36">
        <f>$AD$29</f>
        <v>0.55978260869565222</v>
      </c>
      <c r="AF25" s="81">
        <f t="shared" si="6"/>
        <v>33</v>
      </c>
    </row>
    <row r="26" spans="1:32" ht="21.75" customHeight="1">
      <c r="A26" s="93">
        <v>34</v>
      </c>
      <c r="B26" s="11" t="s">
        <v>57</v>
      </c>
      <c r="C26" s="11" t="s">
        <v>116</v>
      </c>
      <c r="D26" s="52" t="s">
        <v>131</v>
      </c>
      <c r="E26" s="53" t="s">
        <v>798</v>
      </c>
      <c r="F26" s="12" t="s">
        <v>125</v>
      </c>
      <c r="G26" s="12">
        <v>4</v>
      </c>
      <c r="H26" s="35">
        <v>20</v>
      </c>
      <c r="I26" s="7">
        <v>36000</v>
      </c>
      <c r="J26" s="14">
        <v>25496</v>
      </c>
      <c r="K26" s="15">
        <f>L26+13760+25860</f>
        <v>65116</v>
      </c>
      <c r="L26" s="15">
        <f>2786*4+3588*4</f>
        <v>25496</v>
      </c>
      <c r="M26" s="15">
        <f t="shared" si="0"/>
        <v>25496</v>
      </c>
      <c r="N26" s="15">
        <v>0</v>
      </c>
      <c r="O26" s="58">
        <f t="shared" si="1"/>
        <v>0</v>
      </c>
      <c r="P26" s="39">
        <f t="shared" si="2"/>
        <v>22</v>
      </c>
      <c r="Q26" s="40">
        <f t="shared" si="3"/>
        <v>2</v>
      </c>
      <c r="R26" s="7"/>
      <c r="S26" s="6"/>
      <c r="T26" s="16"/>
      <c r="U26" s="16"/>
      <c r="V26" s="115">
        <v>2</v>
      </c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0.91666666666666663</v>
      </c>
      <c r="AD26" s="10">
        <f t="shared" si="7"/>
        <v>0.91666666666666663</v>
      </c>
      <c r="AE26" s="36">
        <f>$AD$29</f>
        <v>0.55978260869565222</v>
      </c>
      <c r="AF26" s="81">
        <f t="shared" si="6"/>
        <v>34</v>
      </c>
    </row>
    <row r="27" spans="1:32" ht="21.75" customHeight="1">
      <c r="A27" s="93">
        <v>35</v>
      </c>
      <c r="B27" s="11" t="s">
        <v>57</v>
      </c>
      <c r="C27" s="11" t="s">
        <v>116</v>
      </c>
      <c r="D27" s="52" t="s">
        <v>121</v>
      </c>
      <c r="E27" s="53" t="s">
        <v>126</v>
      </c>
      <c r="F27" s="12" t="s">
        <v>125</v>
      </c>
      <c r="G27" s="12">
        <v>4</v>
      </c>
      <c r="H27" s="35">
        <v>20</v>
      </c>
      <c r="I27" s="7">
        <v>36000</v>
      </c>
      <c r="J27" s="14">
        <v>26944</v>
      </c>
      <c r="K27" s="15">
        <f>L27+24592+26944+21716</f>
        <v>73252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15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7"/>
        <v>0</v>
      </c>
      <c r="AE27" s="36">
        <f>$AD$29</f>
        <v>0.55978260869565222</v>
      </c>
      <c r="AF27" s="81">
        <f t="shared" si="6"/>
        <v>35</v>
      </c>
    </row>
    <row r="28" spans="1:32" ht="21.75" customHeight="1" thickBot="1">
      <c r="A28" s="93">
        <v>36</v>
      </c>
      <c r="B28" s="11" t="s">
        <v>57</v>
      </c>
      <c r="C28" s="11" t="s">
        <v>116</v>
      </c>
      <c r="D28" s="52" t="s">
        <v>115</v>
      </c>
      <c r="E28" s="53" t="s">
        <v>814</v>
      </c>
      <c r="F28" s="12" t="s">
        <v>144</v>
      </c>
      <c r="G28" s="12">
        <v>4</v>
      </c>
      <c r="H28" s="35">
        <v>20</v>
      </c>
      <c r="I28" s="7">
        <v>36000</v>
      </c>
      <c r="J28" s="14">
        <v>20295</v>
      </c>
      <c r="K28" s="15">
        <f>L28</f>
        <v>20295</v>
      </c>
      <c r="L28" s="15">
        <f>2616*4+3277*3</f>
        <v>20295</v>
      </c>
      <c r="M28" s="15">
        <f t="shared" si="0"/>
        <v>20295</v>
      </c>
      <c r="N28" s="15">
        <v>0</v>
      </c>
      <c r="O28" s="58">
        <f t="shared" si="1"/>
        <v>0</v>
      </c>
      <c r="P28" s="39">
        <f t="shared" si="2"/>
        <v>21</v>
      </c>
      <c r="Q28" s="40">
        <f t="shared" si="3"/>
        <v>3</v>
      </c>
      <c r="R28" s="7"/>
      <c r="S28" s="6">
        <v>3</v>
      </c>
      <c r="T28" s="16"/>
      <c r="U28" s="16"/>
      <c r="V28" s="115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0.875</v>
      </c>
      <c r="AD28" s="10">
        <f t="shared" si="7"/>
        <v>0.875</v>
      </c>
      <c r="AE28" s="36">
        <f>$AD$29</f>
        <v>0.55978260869565222</v>
      </c>
      <c r="AF28" s="81">
        <f t="shared" si="6"/>
        <v>36</v>
      </c>
    </row>
    <row r="29" spans="1:32" ht="19.5" thickBot="1">
      <c r="A29" s="384" t="s">
        <v>34</v>
      </c>
      <c r="B29" s="385"/>
      <c r="C29" s="385"/>
      <c r="D29" s="385"/>
      <c r="E29" s="385"/>
      <c r="F29" s="385"/>
      <c r="G29" s="385"/>
      <c r="H29" s="386"/>
      <c r="I29" s="22">
        <f t="shared" ref="I29:N29" si="17">SUM(I6:I28)</f>
        <v>3034500</v>
      </c>
      <c r="J29" s="19">
        <f t="shared" si="17"/>
        <v>218862</v>
      </c>
      <c r="K29" s="20">
        <f t="shared" si="17"/>
        <v>1339887</v>
      </c>
      <c r="L29" s="21">
        <f t="shared" si="17"/>
        <v>184315</v>
      </c>
      <c r="M29" s="20">
        <f t="shared" si="17"/>
        <v>184315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309</v>
      </c>
      <c r="Q29" s="43">
        <f t="shared" si="18"/>
        <v>243</v>
      </c>
      <c r="R29" s="23">
        <f t="shared" si="18"/>
        <v>0</v>
      </c>
      <c r="S29" s="24">
        <f t="shared" si="18"/>
        <v>74</v>
      </c>
      <c r="T29" s="24">
        <f t="shared" si="18"/>
        <v>11</v>
      </c>
      <c r="U29" s="24">
        <f t="shared" si="18"/>
        <v>0</v>
      </c>
      <c r="V29" s="25">
        <f t="shared" si="18"/>
        <v>2</v>
      </c>
      <c r="W29" s="26">
        <f t="shared" si="18"/>
        <v>140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16</v>
      </c>
      <c r="AB29" s="28">
        <f>AVERAGE(AB6:AB28)</f>
        <v>0.8571428571428571</v>
      </c>
      <c r="AC29" s="4">
        <f>AVERAGE(AC6:AC28)</f>
        <v>0.55978260869565222</v>
      </c>
      <c r="AD29" s="4">
        <f>AVERAGE(AD6:AD28)</f>
        <v>0.55978260869565222</v>
      </c>
      <c r="AE29" s="29"/>
    </row>
    <row r="30" spans="1:32">
      <c r="T30" s="50" t="s">
        <v>132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2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387" t="s">
        <v>45</v>
      </c>
      <c r="B56" s="387"/>
      <c r="C56" s="387"/>
      <c r="D56" s="387"/>
      <c r="E56" s="387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388" t="s">
        <v>896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91" t="s">
        <v>907</v>
      </c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3"/>
    </row>
    <row r="58" spans="1:32" ht="27" customHeight="1">
      <c r="A58" s="394" t="s">
        <v>2</v>
      </c>
      <c r="B58" s="395"/>
      <c r="C58" s="355" t="s">
        <v>46</v>
      </c>
      <c r="D58" s="355" t="s">
        <v>47</v>
      </c>
      <c r="E58" s="355" t="s">
        <v>107</v>
      </c>
      <c r="F58" s="396" t="s">
        <v>106</v>
      </c>
      <c r="G58" s="397"/>
      <c r="H58" s="397"/>
      <c r="I58" s="397"/>
      <c r="J58" s="397"/>
      <c r="K58" s="397"/>
      <c r="L58" s="397"/>
      <c r="M58" s="398"/>
      <c r="N58" s="67" t="s">
        <v>110</v>
      </c>
      <c r="O58" s="355" t="s">
        <v>46</v>
      </c>
      <c r="P58" s="396" t="s">
        <v>47</v>
      </c>
      <c r="Q58" s="399"/>
      <c r="R58" s="396" t="s">
        <v>38</v>
      </c>
      <c r="S58" s="397"/>
      <c r="T58" s="397"/>
      <c r="U58" s="399"/>
      <c r="V58" s="396" t="s">
        <v>48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410" t="s">
        <v>112</v>
      </c>
      <c r="B59" s="411"/>
      <c r="C59" s="369" t="s">
        <v>151</v>
      </c>
      <c r="D59" s="369" t="s">
        <v>146</v>
      </c>
      <c r="E59" s="369" t="s">
        <v>813</v>
      </c>
      <c r="F59" s="412" t="s">
        <v>220</v>
      </c>
      <c r="G59" s="413"/>
      <c r="H59" s="413"/>
      <c r="I59" s="413"/>
      <c r="J59" s="413"/>
      <c r="K59" s="413"/>
      <c r="L59" s="413"/>
      <c r="M59" s="414"/>
      <c r="N59" s="356" t="s">
        <v>563</v>
      </c>
      <c r="O59" s="363" t="s">
        <v>230</v>
      </c>
      <c r="P59" s="415"/>
      <c r="Q59" s="416"/>
      <c r="R59" s="415" t="s">
        <v>646</v>
      </c>
      <c r="S59" s="417"/>
      <c r="T59" s="417"/>
      <c r="U59" s="416"/>
      <c r="V59" s="412" t="s">
        <v>220</v>
      </c>
      <c r="W59" s="413"/>
      <c r="X59" s="413"/>
      <c r="Y59" s="413"/>
      <c r="Z59" s="413"/>
      <c r="AA59" s="413"/>
      <c r="AB59" s="413"/>
      <c r="AC59" s="413"/>
      <c r="AD59" s="414"/>
    </row>
    <row r="60" spans="1:32" ht="27" customHeight="1">
      <c r="A60" s="410" t="s">
        <v>116</v>
      </c>
      <c r="B60" s="411"/>
      <c r="C60" s="357" t="s">
        <v>151</v>
      </c>
      <c r="D60" s="357" t="s">
        <v>131</v>
      </c>
      <c r="E60" s="357" t="s">
        <v>887</v>
      </c>
      <c r="F60" s="412" t="s">
        <v>122</v>
      </c>
      <c r="G60" s="413"/>
      <c r="H60" s="413"/>
      <c r="I60" s="413"/>
      <c r="J60" s="413"/>
      <c r="K60" s="413"/>
      <c r="L60" s="413"/>
      <c r="M60" s="414"/>
      <c r="N60" s="356" t="s">
        <v>112</v>
      </c>
      <c r="O60" s="363" t="s">
        <v>181</v>
      </c>
      <c r="P60" s="415" t="s">
        <v>121</v>
      </c>
      <c r="Q60" s="416"/>
      <c r="R60" s="415" t="s">
        <v>908</v>
      </c>
      <c r="S60" s="417"/>
      <c r="T60" s="417"/>
      <c r="U60" s="416"/>
      <c r="V60" s="412" t="s">
        <v>122</v>
      </c>
      <c r="W60" s="413"/>
      <c r="X60" s="413"/>
      <c r="Y60" s="413"/>
      <c r="Z60" s="413"/>
      <c r="AA60" s="413"/>
      <c r="AB60" s="413"/>
      <c r="AC60" s="413"/>
      <c r="AD60" s="414"/>
    </row>
    <row r="61" spans="1:32" ht="27" customHeight="1">
      <c r="A61" s="410" t="s">
        <v>116</v>
      </c>
      <c r="B61" s="411"/>
      <c r="C61" s="357" t="s">
        <v>230</v>
      </c>
      <c r="D61" s="357" t="s">
        <v>147</v>
      </c>
      <c r="E61" s="357" t="s">
        <v>897</v>
      </c>
      <c r="F61" s="412" t="s">
        <v>898</v>
      </c>
      <c r="G61" s="413"/>
      <c r="H61" s="413"/>
      <c r="I61" s="413"/>
      <c r="J61" s="413"/>
      <c r="K61" s="413"/>
      <c r="L61" s="413"/>
      <c r="M61" s="414"/>
      <c r="N61" s="356" t="s">
        <v>563</v>
      </c>
      <c r="O61" s="363" t="s">
        <v>200</v>
      </c>
      <c r="P61" s="415"/>
      <c r="Q61" s="416"/>
      <c r="R61" s="415" t="s">
        <v>659</v>
      </c>
      <c r="S61" s="417"/>
      <c r="T61" s="417"/>
      <c r="U61" s="416"/>
      <c r="V61" s="412" t="s">
        <v>368</v>
      </c>
      <c r="W61" s="413"/>
      <c r="X61" s="413"/>
      <c r="Y61" s="413"/>
      <c r="Z61" s="413"/>
      <c r="AA61" s="413"/>
      <c r="AB61" s="413"/>
      <c r="AC61" s="413"/>
      <c r="AD61" s="414"/>
    </row>
    <row r="62" spans="1:32" ht="27" customHeight="1">
      <c r="A62" s="410" t="s">
        <v>129</v>
      </c>
      <c r="B62" s="411"/>
      <c r="C62" s="369" t="s">
        <v>262</v>
      </c>
      <c r="D62" s="369" t="s">
        <v>115</v>
      </c>
      <c r="E62" s="369" t="s">
        <v>663</v>
      </c>
      <c r="F62" s="412" t="s">
        <v>220</v>
      </c>
      <c r="G62" s="413"/>
      <c r="H62" s="413"/>
      <c r="I62" s="413"/>
      <c r="J62" s="413"/>
      <c r="K62" s="413"/>
      <c r="L62" s="413"/>
      <c r="M62" s="414"/>
      <c r="N62" s="356" t="s">
        <v>112</v>
      </c>
      <c r="O62" s="363" t="s">
        <v>150</v>
      </c>
      <c r="P62" s="415" t="s">
        <v>909</v>
      </c>
      <c r="Q62" s="416"/>
      <c r="R62" s="415" t="s">
        <v>639</v>
      </c>
      <c r="S62" s="417"/>
      <c r="T62" s="417"/>
      <c r="U62" s="416"/>
      <c r="V62" s="412" t="s">
        <v>220</v>
      </c>
      <c r="W62" s="413"/>
      <c r="X62" s="413"/>
      <c r="Y62" s="413"/>
      <c r="Z62" s="413"/>
      <c r="AA62" s="413"/>
      <c r="AB62" s="413"/>
      <c r="AC62" s="413"/>
      <c r="AD62" s="414"/>
    </row>
    <row r="63" spans="1:32" ht="27" customHeight="1">
      <c r="A63" s="410" t="s">
        <v>129</v>
      </c>
      <c r="B63" s="411"/>
      <c r="C63" s="357" t="s">
        <v>185</v>
      </c>
      <c r="D63" s="357"/>
      <c r="E63" s="357" t="s">
        <v>899</v>
      </c>
      <c r="F63" s="412" t="s">
        <v>633</v>
      </c>
      <c r="G63" s="413"/>
      <c r="H63" s="413"/>
      <c r="I63" s="413"/>
      <c r="J63" s="413"/>
      <c r="K63" s="413"/>
      <c r="L63" s="413"/>
      <c r="M63" s="414"/>
      <c r="N63" s="356" t="s">
        <v>861</v>
      </c>
      <c r="O63" s="363" t="s">
        <v>253</v>
      </c>
      <c r="P63" s="415" t="s">
        <v>909</v>
      </c>
      <c r="Q63" s="416"/>
      <c r="R63" s="415" t="s">
        <v>910</v>
      </c>
      <c r="S63" s="417"/>
      <c r="T63" s="417"/>
      <c r="U63" s="416"/>
      <c r="V63" s="412" t="s">
        <v>122</v>
      </c>
      <c r="W63" s="413"/>
      <c r="X63" s="413"/>
      <c r="Y63" s="413"/>
      <c r="Z63" s="413"/>
      <c r="AA63" s="413"/>
      <c r="AB63" s="413"/>
      <c r="AC63" s="413"/>
      <c r="AD63" s="414"/>
    </row>
    <row r="64" spans="1:32" ht="27" customHeight="1">
      <c r="A64" s="410" t="s">
        <v>129</v>
      </c>
      <c r="B64" s="411"/>
      <c r="C64" s="369" t="s">
        <v>205</v>
      </c>
      <c r="D64" s="369"/>
      <c r="E64" s="369" t="s">
        <v>900</v>
      </c>
      <c r="F64" s="412" t="s">
        <v>856</v>
      </c>
      <c r="G64" s="413"/>
      <c r="H64" s="413"/>
      <c r="I64" s="413"/>
      <c r="J64" s="413"/>
      <c r="K64" s="413"/>
      <c r="L64" s="413"/>
      <c r="M64" s="414"/>
      <c r="N64" s="356"/>
      <c r="O64" s="363"/>
      <c r="P64" s="415"/>
      <c r="Q64" s="416"/>
      <c r="R64" s="415"/>
      <c r="S64" s="417"/>
      <c r="T64" s="417"/>
      <c r="U64" s="416"/>
      <c r="V64" s="412"/>
      <c r="W64" s="413"/>
      <c r="X64" s="413"/>
      <c r="Y64" s="413"/>
      <c r="Z64" s="413"/>
      <c r="AA64" s="413"/>
      <c r="AB64" s="413"/>
      <c r="AC64" s="413"/>
      <c r="AD64" s="414"/>
    </row>
    <row r="65" spans="1:32" ht="27" customHeight="1">
      <c r="A65" s="410" t="s">
        <v>112</v>
      </c>
      <c r="B65" s="411"/>
      <c r="C65" s="357" t="s">
        <v>902</v>
      </c>
      <c r="D65" s="357" t="s">
        <v>115</v>
      </c>
      <c r="E65" s="357" t="s">
        <v>901</v>
      </c>
      <c r="F65" s="412" t="s">
        <v>122</v>
      </c>
      <c r="G65" s="413"/>
      <c r="H65" s="413"/>
      <c r="I65" s="413"/>
      <c r="J65" s="413"/>
      <c r="K65" s="413"/>
      <c r="L65" s="413"/>
      <c r="M65" s="414"/>
      <c r="N65" s="356"/>
      <c r="O65" s="363"/>
      <c r="P65" s="415"/>
      <c r="Q65" s="416"/>
      <c r="R65" s="415"/>
      <c r="S65" s="417"/>
      <c r="T65" s="417"/>
      <c r="U65" s="416"/>
      <c r="V65" s="412"/>
      <c r="W65" s="413"/>
      <c r="X65" s="413"/>
      <c r="Y65" s="413"/>
      <c r="Z65" s="413"/>
      <c r="AA65" s="413"/>
      <c r="AB65" s="413"/>
      <c r="AC65" s="413"/>
      <c r="AD65" s="414"/>
    </row>
    <row r="66" spans="1:32" ht="27" customHeight="1">
      <c r="A66" s="426" t="s">
        <v>905</v>
      </c>
      <c r="B66" s="427"/>
      <c r="C66" s="360" t="s">
        <v>906</v>
      </c>
      <c r="D66" s="360"/>
      <c r="E66" s="357" t="s">
        <v>903</v>
      </c>
      <c r="F66" s="412" t="s">
        <v>904</v>
      </c>
      <c r="G66" s="413"/>
      <c r="H66" s="413"/>
      <c r="I66" s="413"/>
      <c r="J66" s="413"/>
      <c r="K66" s="413"/>
      <c r="L66" s="413"/>
      <c r="M66" s="414"/>
      <c r="N66" s="356"/>
      <c r="O66" s="363"/>
      <c r="P66" s="415"/>
      <c r="Q66" s="416"/>
      <c r="R66" s="415"/>
      <c r="S66" s="417"/>
      <c r="T66" s="417"/>
      <c r="U66" s="416"/>
      <c r="V66" s="412"/>
      <c r="W66" s="413"/>
      <c r="X66" s="413"/>
      <c r="Y66" s="413"/>
      <c r="Z66" s="413"/>
      <c r="AA66" s="413"/>
      <c r="AB66" s="413"/>
      <c r="AC66" s="413"/>
      <c r="AD66" s="414"/>
    </row>
    <row r="67" spans="1:32" ht="27" customHeight="1">
      <c r="A67" s="426"/>
      <c r="B67" s="427"/>
      <c r="C67" s="360"/>
      <c r="D67" s="360"/>
      <c r="E67" s="357"/>
      <c r="F67" s="412"/>
      <c r="G67" s="413"/>
      <c r="H67" s="413"/>
      <c r="I67" s="413"/>
      <c r="J67" s="413"/>
      <c r="K67" s="413"/>
      <c r="L67" s="413"/>
      <c r="M67" s="414"/>
      <c r="N67" s="356"/>
      <c r="O67" s="363"/>
      <c r="P67" s="411"/>
      <c r="Q67" s="411"/>
      <c r="R67" s="411"/>
      <c r="S67" s="411"/>
      <c r="T67" s="411"/>
      <c r="U67" s="411"/>
      <c r="V67" s="412"/>
      <c r="W67" s="413"/>
      <c r="X67" s="413"/>
      <c r="Y67" s="413"/>
      <c r="Z67" s="413"/>
      <c r="AA67" s="413"/>
      <c r="AB67" s="413"/>
      <c r="AC67" s="413"/>
      <c r="AD67" s="414"/>
      <c r="AF67" s="81">
        <f>8*3000</f>
        <v>24000</v>
      </c>
    </row>
    <row r="68" spans="1:32" ht="27" customHeight="1" thickBot="1">
      <c r="A68" s="418"/>
      <c r="B68" s="419"/>
      <c r="C68" s="358"/>
      <c r="D68" s="359"/>
      <c r="E68" s="358"/>
      <c r="F68" s="420"/>
      <c r="G68" s="421"/>
      <c r="H68" s="421"/>
      <c r="I68" s="421"/>
      <c r="J68" s="421"/>
      <c r="K68" s="421"/>
      <c r="L68" s="421"/>
      <c r="M68" s="422"/>
      <c r="N68" s="106"/>
      <c r="O68" s="98"/>
      <c r="P68" s="423"/>
      <c r="Q68" s="423"/>
      <c r="R68" s="423"/>
      <c r="S68" s="423"/>
      <c r="T68" s="423"/>
      <c r="U68" s="423"/>
      <c r="V68" s="424"/>
      <c r="W68" s="424"/>
      <c r="X68" s="424"/>
      <c r="Y68" s="424"/>
      <c r="Z68" s="424"/>
      <c r="AA68" s="424"/>
      <c r="AB68" s="424"/>
      <c r="AC68" s="424"/>
      <c r="AD68" s="425"/>
      <c r="AF68" s="81">
        <f>16*3000</f>
        <v>48000</v>
      </c>
    </row>
    <row r="69" spans="1:32" ht="27.75" thickBot="1">
      <c r="A69" s="428" t="s">
        <v>911</v>
      </c>
      <c r="B69" s="428"/>
      <c r="C69" s="428"/>
      <c r="D69" s="428"/>
      <c r="E69" s="428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1">
        <v>24000</v>
      </c>
    </row>
    <row r="70" spans="1:32" ht="29.25" customHeight="1" thickBot="1">
      <c r="A70" s="429" t="s">
        <v>111</v>
      </c>
      <c r="B70" s="430"/>
      <c r="C70" s="361" t="s">
        <v>2</v>
      </c>
      <c r="D70" s="361" t="s">
        <v>37</v>
      </c>
      <c r="E70" s="361" t="s">
        <v>3</v>
      </c>
      <c r="F70" s="430" t="s">
        <v>109</v>
      </c>
      <c r="G70" s="430"/>
      <c r="H70" s="430"/>
      <c r="I70" s="430"/>
      <c r="J70" s="430"/>
      <c r="K70" s="430" t="s">
        <v>39</v>
      </c>
      <c r="L70" s="430"/>
      <c r="M70" s="361" t="s">
        <v>40</v>
      </c>
      <c r="N70" s="430" t="s">
        <v>41</v>
      </c>
      <c r="O70" s="430"/>
      <c r="P70" s="431" t="s">
        <v>42</v>
      </c>
      <c r="Q70" s="432"/>
      <c r="R70" s="431" t="s">
        <v>43</v>
      </c>
      <c r="S70" s="433"/>
      <c r="T70" s="433"/>
      <c r="U70" s="433"/>
      <c r="V70" s="433"/>
      <c r="W70" s="433"/>
      <c r="X70" s="433"/>
      <c r="Y70" s="433"/>
      <c r="Z70" s="433"/>
      <c r="AA70" s="432"/>
      <c r="AB70" s="430" t="s">
        <v>44</v>
      </c>
      <c r="AC70" s="430"/>
      <c r="AD70" s="434"/>
      <c r="AF70" s="81">
        <f>SUM(AF67:AF69)</f>
        <v>96000</v>
      </c>
    </row>
    <row r="71" spans="1:32" ht="25.5" customHeight="1">
      <c r="A71" s="435">
        <v>1</v>
      </c>
      <c r="B71" s="436"/>
      <c r="C71" s="99" t="s">
        <v>129</v>
      </c>
      <c r="D71" s="367"/>
      <c r="E71" s="368" t="s">
        <v>115</v>
      </c>
      <c r="F71" s="437" t="s">
        <v>871</v>
      </c>
      <c r="G71" s="438"/>
      <c r="H71" s="438"/>
      <c r="I71" s="438"/>
      <c r="J71" s="438"/>
      <c r="K71" s="438" t="s">
        <v>144</v>
      </c>
      <c r="L71" s="438"/>
      <c r="M71" s="51" t="s">
        <v>213</v>
      </c>
      <c r="N71" s="439" t="s">
        <v>185</v>
      </c>
      <c r="O71" s="439"/>
      <c r="P71" s="440">
        <v>250</v>
      </c>
      <c r="Q71" s="440"/>
      <c r="R71" s="441"/>
      <c r="S71" s="441"/>
      <c r="T71" s="441"/>
      <c r="U71" s="441"/>
      <c r="V71" s="441"/>
      <c r="W71" s="441"/>
      <c r="X71" s="441"/>
      <c r="Y71" s="441"/>
      <c r="Z71" s="441"/>
      <c r="AA71" s="441"/>
      <c r="AB71" s="438"/>
      <c r="AC71" s="438"/>
      <c r="AD71" s="442"/>
      <c r="AF71" s="50"/>
    </row>
    <row r="72" spans="1:32" ht="25.5" customHeight="1">
      <c r="A72" s="435">
        <v>2</v>
      </c>
      <c r="B72" s="436"/>
      <c r="C72" s="99" t="s">
        <v>116</v>
      </c>
      <c r="D72" s="365"/>
      <c r="E72" s="362" t="s">
        <v>196</v>
      </c>
      <c r="F72" s="437" t="s">
        <v>720</v>
      </c>
      <c r="G72" s="438"/>
      <c r="H72" s="438"/>
      <c r="I72" s="438"/>
      <c r="J72" s="438"/>
      <c r="K72" s="438">
        <v>7301</v>
      </c>
      <c r="L72" s="438"/>
      <c r="M72" s="51" t="s">
        <v>184</v>
      </c>
      <c r="N72" s="439" t="s">
        <v>875</v>
      </c>
      <c r="O72" s="439"/>
      <c r="P72" s="440"/>
      <c r="Q72" s="440"/>
      <c r="R72" s="441" t="s">
        <v>343</v>
      </c>
      <c r="S72" s="441"/>
      <c r="T72" s="441"/>
      <c r="U72" s="441"/>
      <c r="V72" s="441"/>
      <c r="W72" s="441"/>
      <c r="X72" s="441"/>
      <c r="Y72" s="441"/>
      <c r="Z72" s="441"/>
      <c r="AA72" s="441"/>
      <c r="AB72" s="438"/>
      <c r="AC72" s="438"/>
      <c r="AD72" s="442"/>
      <c r="AF72" s="50"/>
    </row>
    <row r="73" spans="1:32" ht="25.5" customHeight="1">
      <c r="A73" s="435">
        <v>3</v>
      </c>
      <c r="B73" s="436"/>
      <c r="C73" s="99" t="s">
        <v>916</v>
      </c>
      <c r="D73" s="365"/>
      <c r="E73" s="362" t="s">
        <v>115</v>
      </c>
      <c r="F73" s="437" t="s">
        <v>912</v>
      </c>
      <c r="G73" s="438"/>
      <c r="H73" s="438"/>
      <c r="I73" s="438"/>
      <c r="J73" s="438"/>
      <c r="K73" s="438" t="s">
        <v>913</v>
      </c>
      <c r="L73" s="438"/>
      <c r="M73" s="51" t="s">
        <v>914</v>
      </c>
      <c r="N73" s="439" t="s">
        <v>902</v>
      </c>
      <c r="O73" s="439"/>
      <c r="P73" s="440">
        <v>50</v>
      </c>
      <c r="Q73" s="440"/>
      <c r="R73" s="441" t="s">
        <v>915</v>
      </c>
      <c r="S73" s="441"/>
      <c r="T73" s="441"/>
      <c r="U73" s="441"/>
      <c r="V73" s="441"/>
      <c r="W73" s="441"/>
      <c r="X73" s="441"/>
      <c r="Y73" s="441"/>
      <c r="Z73" s="441"/>
      <c r="AA73" s="441"/>
      <c r="AB73" s="438"/>
      <c r="AC73" s="438"/>
      <c r="AD73" s="442"/>
      <c r="AF73" s="50"/>
    </row>
    <row r="74" spans="1:32" ht="25.5" customHeight="1">
      <c r="A74" s="435">
        <v>4</v>
      </c>
      <c r="B74" s="436"/>
      <c r="C74" s="99" t="s">
        <v>918</v>
      </c>
      <c r="D74" s="365"/>
      <c r="E74" s="362" t="s">
        <v>115</v>
      </c>
      <c r="F74" s="443" t="s">
        <v>917</v>
      </c>
      <c r="G74" s="444"/>
      <c r="H74" s="444"/>
      <c r="I74" s="444"/>
      <c r="J74" s="445"/>
      <c r="K74" s="438" t="s">
        <v>919</v>
      </c>
      <c r="L74" s="438"/>
      <c r="M74" s="51" t="s">
        <v>184</v>
      </c>
      <c r="N74" s="439" t="s">
        <v>448</v>
      </c>
      <c r="O74" s="439"/>
      <c r="P74" s="440">
        <v>30</v>
      </c>
      <c r="Q74" s="440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38"/>
      <c r="AC74" s="438"/>
      <c r="AD74" s="442"/>
      <c r="AF74" s="50"/>
    </row>
    <row r="75" spans="1:32" ht="25.5" customHeight="1">
      <c r="A75" s="435">
        <v>5</v>
      </c>
      <c r="B75" s="436"/>
      <c r="C75" s="99"/>
      <c r="D75" s="365"/>
      <c r="E75" s="362"/>
      <c r="F75" s="443"/>
      <c r="G75" s="444"/>
      <c r="H75" s="444"/>
      <c r="I75" s="444"/>
      <c r="J75" s="445"/>
      <c r="K75" s="438"/>
      <c r="L75" s="438"/>
      <c r="M75" s="51"/>
      <c r="N75" s="439"/>
      <c r="O75" s="439"/>
      <c r="P75" s="440"/>
      <c r="Q75" s="440"/>
      <c r="R75" s="441"/>
      <c r="S75" s="441"/>
      <c r="T75" s="441"/>
      <c r="U75" s="441"/>
      <c r="V75" s="441"/>
      <c r="W75" s="441"/>
      <c r="X75" s="441"/>
      <c r="Y75" s="441"/>
      <c r="Z75" s="441"/>
      <c r="AA75" s="441"/>
      <c r="AB75" s="438"/>
      <c r="AC75" s="438"/>
      <c r="AD75" s="442"/>
      <c r="AF75" s="50"/>
    </row>
    <row r="76" spans="1:32" ht="25.5" customHeight="1">
      <c r="A76" s="435">
        <v>6</v>
      </c>
      <c r="B76" s="436"/>
      <c r="C76" s="99"/>
      <c r="D76" s="365"/>
      <c r="E76" s="362"/>
      <c r="F76" s="443"/>
      <c r="G76" s="444"/>
      <c r="H76" s="444"/>
      <c r="I76" s="444"/>
      <c r="J76" s="445"/>
      <c r="K76" s="438"/>
      <c r="L76" s="438"/>
      <c r="M76" s="51"/>
      <c r="N76" s="439"/>
      <c r="O76" s="439"/>
      <c r="P76" s="440"/>
      <c r="Q76" s="440"/>
      <c r="R76" s="441"/>
      <c r="S76" s="441"/>
      <c r="T76" s="441"/>
      <c r="U76" s="441"/>
      <c r="V76" s="441"/>
      <c r="W76" s="441"/>
      <c r="X76" s="441"/>
      <c r="Y76" s="441"/>
      <c r="Z76" s="441"/>
      <c r="AA76" s="441"/>
      <c r="AB76" s="438"/>
      <c r="AC76" s="438"/>
      <c r="AD76" s="442"/>
      <c r="AF76" s="50"/>
    </row>
    <row r="77" spans="1:32" ht="25.5" customHeight="1">
      <c r="A77" s="435">
        <v>7</v>
      </c>
      <c r="B77" s="436"/>
      <c r="C77" s="99"/>
      <c r="D77" s="365"/>
      <c r="E77" s="362"/>
      <c r="F77" s="443"/>
      <c r="G77" s="444"/>
      <c r="H77" s="444"/>
      <c r="I77" s="444"/>
      <c r="J77" s="445"/>
      <c r="K77" s="438"/>
      <c r="L77" s="438"/>
      <c r="M77" s="51"/>
      <c r="N77" s="439"/>
      <c r="O77" s="439"/>
      <c r="P77" s="440"/>
      <c r="Q77" s="440"/>
      <c r="R77" s="441"/>
      <c r="S77" s="441"/>
      <c r="T77" s="441"/>
      <c r="U77" s="441"/>
      <c r="V77" s="441"/>
      <c r="W77" s="441"/>
      <c r="X77" s="441"/>
      <c r="Y77" s="441"/>
      <c r="Z77" s="441"/>
      <c r="AA77" s="441"/>
      <c r="AB77" s="438"/>
      <c r="AC77" s="438"/>
      <c r="AD77" s="442"/>
      <c r="AF77" s="50"/>
    </row>
    <row r="78" spans="1:32" ht="25.5" customHeight="1">
      <c r="A78" s="435">
        <v>8</v>
      </c>
      <c r="B78" s="436"/>
      <c r="C78" s="99"/>
      <c r="D78" s="365"/>
      <c r="E78" s="362"/>
      <c r="F78" s="437"/>
      <c r="G78" s="438"/>
      <c r="H78" s="438"/>
      <c r="I78" s="438"/>
      <c r="J78" s="438"/>
      <c r="K78" s="438"/>
      <c r="L78" s="438"/>
      <c r="M78" s="51"/>
      <c r="N78" s="439"/>
      <c r="O78" s="439"/>
      <c r="P78" s="440"/>
      <c r="Q78" s="440"/>
      <c r="R78" s="441"/>
      <c r="S78" s="441"/>
      <c r="T78" s="441"/>
      <c r="U78" s="441"/>
      <c r="V78" s="441"/>
      <c r="W78" s="441"/>
      <c r="X78" s="441"/>
      <c r="Y78" s="441"/>
      <c r="Z78" s="441"/>
      <c r="AA78" s="441"/>
      <c r="AB78" s="438"/>
      <c r="AC78" s="438"/>
      <c r="AD78" s="442"/>
      <c r="AF78" s="50"/>
    </row>
    <row r="79" spans="1:32" ht="25.5" customHeight="1">
      <c r="A79" s="435">
        <v>9</v>
      </c>
      <c r="B79" s="436"/>
      <c r="C79" s="99"/>
      <c r="D79" s="365"/>
      <c r="E79" s="362"/>
      <c r="F79" s="437"/>
      <c r="G79" s="438"/>
      <c r="H79" s="438"/>
      <c r="I79" s="438"/>
      <c r="J79" s="438"/>
      <c r="K79" s="438"/>
      <c r="L79" s="438"/>
      <c r="M79" s="51"/>
      <c r="N79" s="439"/>
      <c r="O79" s="439"/>
      <c r="P79" s="440"/>
      <c r="Q79" s="440"/>
      <c r="R79" s="441"/>
      <c r="S79" s="441"/>
      <c r="T79" s="441"/>
      <c r="U79" s="441"/>
      <c r="V79" s="441"/>
      <c r="W79" s="441"/>
      <c r="X79" s="441"/>
      <c r="Y79" s="441"/>
      <c r="Z79" s="441"/>
      <c r="AA79" s="441"/>
      <c r="AB79" s="438"/>
      <c r="AC79" s="438"/>
      <c r="AD79" s="442"/>
      <c r="AF79" s="50"/>
    </row>
    <row r="80" spans="1:32" ht="25.5" customHeight="1">
      <c r="A80" s="435">
        <v>10</v>
      </c>
      <c r="B80" s="436"/>
      <c r="C80" s="99"/>
      <c r="D80" s="365"/>
      <c r="E80" s="362"/>
      <c r="F80" s="437"/>
      <c r="G80" s="438"/>
      <c r="H80" s="438"/>
      <c r="I80" s="438"/>
      <c r="J80" s="438"/>
      <c r="K80" s="438"/>
      <c r="L80" s="438"/>
      <c r="M80" s="51"/>
      <c r="N80" s="439"/>
      <c r="O80" s="439"/>
      <c r="P80" s="440"/>
      <c r="Q80" s="440"/>
      <c r="R80" s="441"/>
      <c r="S80" s="441"/>
      <c r="T80" s="441"/>
      <c r="U80" s="441"/>
      <c r="V80" s="441"/>
      <c r="W80" s="441"/>
      <c r="X80" s="441"/>
      <c r="Y80" s="441"/>
      <c r="Z80" s="441"/>
      <c r="AA80" s="441"/>
      <c r="AB80" s="438"/>
      <c r="AC80" s="438"/>
      <c r="AD80" s="442"/>
      <c r="AF80" s="50"/>
    </row>
    <row r="81" spans="1:32" ht="26.25" customHeight="1" thickBot="1">
      <c r="A81" s="446" t="s">
        <v>920</v>
      </c>
      <c r="B81" s="446"/>
      <c r="C81" s="446"/>
      <c r="D81" s="446"/>
      <c r="E81" s="446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47" t="s">
        <v>111</v>
      </c>
      <c r="B82" s="448"/>
      <c r="C82" s="364" t="s">
        <v>2</v>
      </c>
      <c r="D82" s="364" t="s">
        <v>37</v>
      </c>
      <c r="E82" s="364" t="s">
        <v>120</v>
      </c>
      <c r="F82" s="449" t="s">
        <v>38</v>
      </c>
      <c r="G82" s="449"/>
      <c r="H82" s="449"/>
      <c r="I82" s="449"/>
      <c r="J82" s="449"/>
      <c r="K82" s="450" t="s">
        <v>58</v>
      </c>
      <c r="L82" s="451"/>
      <c r="M82" s="451"/>
      <c r="N82" s="451"/>
      <c r="O82" s="451"/>
      <c r="P82" s="451"/>
      <c r="Q82" s="451"/>
      <c r="R82" s="451"/>
      <c r="S82" s="452"/>
      <c r="T82" s="449" t="s">
        <v>49</v>
      </c>
      <c r="U82" s="449"/>
      <c r="V82" s="450" t="s">
        <v>50</v>
      </c>
      <c r="W82" s="452"/>
      <c r="X82" s="451" t="s">
        <v>51</v>
      </c>
      <c r="Y82" s="451"/>
      <c r="Z82" s="451"/>
      <c r="AA82" s="451"/>
      <c r="AB82" s="451"/>
      <c r="AC82" s="451"/>
      <c r="AD82" s="453"/>
      <c r="AF82" s="50"/>
    </row>
    <row r="83" spans="1:32" ht="33.75" customHeight="1">
      <c r="A83" s="462">
        <v>1</v>
      </c>
      <c r="B83" s="463"/>
      <c r="C83" s="366"/>
      <c r="D83" s="366"/>
      <c r="E83" s="65"/>
      <c r="F83" s="464"/>
      <c r="G83" s="465"/>
      <c r="H83" s="465"/>
      <c r="I83" s="465"/>
      <c r="J83" s="466"/>
      <c r="K83" s="467"/>
      <c r="L83" s="468"/>
      <c r="M83" s="468"/>
      <c r="N83" s="468"/>
      <c r="O83" s="468"/>
      <c r="P83" s="468"/>
      <c r="Q83" s="468"/>
      <c r="R83" s="468"/>
      <c r="S83" s="469"/>
      <c r="T83" s="470"/>
      <c r="U83" s="471"/>
      <c r="V83" s="472"/>
      <c r="W83" s="472"/>
      <c r="X83" s="473"/>
      <c r="Y83" s="473"/>
      <c r="Z83" s="473"/>
      <c r="AA83" s="473"/>
      <c r="AB83" s="473"/>
      <c r="AC83" s="473"/>
      <c r="AD83" s="474"/>
      <c r="AF83" s="50"/>
    </row>
    <row r="84" spans="1:32" ht="30" customHeight="1">
      <c r="A84" s="454">
        <f>A83+1</f>
        <v>2</v>
      </c>
      <c r="B84" s="455"/>
      <c r="C84" s="365"/>
      <c r="D84" s="365"/>
      <c r="E84" s="32"/>
      <c r="F84" s="455"/>
      <c r="G84" s="455"/>
      <c r="H84" s="455"/>
      <c r="I84" s="455"/>
      <c r="J84" s="455"/>
      <c r="K84" s="456"/>
      <c r="L84" s="457"/>
      <c r="M84" s="457"/>
      <c r="N84" s="457"/>
      <c r="O84" s="457"/>
      <c r="P84" s="457"/>
      <c r="Q84" s="457"/>
      <c r="R84" s="457"/>
      <c r="S84" s="458"/>
      <c r="T84" s="459"/>
      <c r="U84" s="459"/>
      <c r="V84" s="459"/>
      <c r="W84" s="459"/>
      <c r="X84" s="460"/>
      <c r="Y84" s="460"/>
      <c r="Z84" s="460"/>
      <c r="AA84" s="460"/>
      <c r="AB84" s="460"/>
      <c r="AC84" s="460"/>
      <c r="AD84" s="461"/>
      <c r="AF84" s="50"/>
    </row>
    <row r="85" spans="1:32" ht="30" customHeight="1">
      <c r="A85" s="454">
        <f t="shared" ref="A85:A89" si="19">A84+1</f>
        <v>3</v>
      </c>
      <c r="B85" s="455"/>
      <c r="C85" s="365"/>
      <c r="D85" s="365"/>
      <c r="E85" s="32"/>
      <c r="F85" s="455"/>
      <c r="G85" s="455"/>
      <c r="H85" s="455"/>
      <c r="I85" s="455"/>
      <c r="J85" s="455"/>
      <c r="K85" s="456"/>
      <c r="L85" s="457"/>
      <c r="M85" s="457"/>
      <c r="N85" s="457"/>
      <c r="O85" s="457"/>
      <c r="P85" s="457"/>
      <c r="Q85" s="457"/>
      <c r="R85" s="457"/>
      <c r="S85" s="458"/>
      <c r="T85" s="459"/>
      <c r="U85" s="459"/>
      <c r="V85" s="459"/>
      <c r="W85" s="459"/>
      <c r="X85" s="460"/>
      <c r="Y85" s="460"/>
      <c r="Z85" s="460"/>
      <c r="AA85" s="460"/>
      <c r="AB85" s="460"/>
      <c r="AC85" s="460"/>
      <c r="AD85" s="461"/>
      <c r="AF85" s="50"/>
    </row>
    <row r="86" spans="1:32" ht="30" customHeight="1">
      <c r="A86" s="454">
        <f t="shared" si="19"/>
        <v>4</v>
      </c>
      <c r="B86" s="455"/>
      <c r="C86" s="365"/>
      <c r="D86" s="365"/>
      <c r="E86" s="32"/>
      <c r="F86" s="455"/>
      <c r="G86" s="455"/>
      <c r="H86" s="455"/>
      <c r="I86" s="455"/>
      <c r="J86" s="455"/>
      <c r="K86" s="456"/>
      <c r="L86" s="457"/>
      <c r="M86" s="457"/>
      <c r="N86" s="457"/>
      <c r="O86" s="457"/>
      <c r="P86" s="457"/>
      <c r="Q86" s="457"/>
      <c r="R86" s="457"/>
      <c r="S86" s="458"/>
      <c r="T86" s="459"/>
      <c r="U86" s="459"/>
      <c r="V86" s="459"/>
      <c r="W86" s="459"/>
      <c r="X86" s="460"/>
      <c r="Y86" s="460"/>
      <c r="Z86" s="460"/>
      <c r="AA86" s="460"/>
      <c r="AB86" s="460"/>
      <c r="AC86" s="460"/>
      <c r="AD86" s="461"/>
      <c r="AF86" s="50"/>
    </row>
    <row r="87" spans="1:32" ht="30" customHeight="1">
      <c r="A87" s="454">
        <f t="shared" si="19"/>
        <v>5</v>
      </c>
      <c r="B87" s="455"/>
      <c r="C87" s="365"/>
      <c r="D87" s="365"/>
      <c r="E87" s="32"/>
      <c r="F87" s="455"/>
      <c r="G87" s="455"/>
      <c r="H87" s="455"/>
      <c r="I87" s="455"/>
      <c r="J87" s="455"/>
      <c r="K87" s="456"/>
      <c r="L87" s="457"/>
      <c r="M87" s="457"/>
      <c r="N87" s="457"/>
      <c r="O87" s="457"/>
      <c r="P87" s="457"/>
      <c r="Q87" s="457"/>
      <c r="R87" s="457"/>
      <c r="S87" s="458"/>
      <c r="T87" s="459"/>
      <c r="U87" s="459"/>
      <c r="V87" s="459"/>
      <c r="W87" s="459"/>
      <c r="X87" s="460"/>
      <c r="Y87" s="460"/>
      <c r="Z87" s="460"/>
      <c r="AA87" s="460"/>
      <c r="AB87" s="460"/>
      <c r="AC87" s="460"/>
      <c r="AD87" s="461"/>
      <c r="AF87" s="50"/>
    </row>
    <row r="88" spans="1:32" ht="30" customHeight="1">
      <c r="A88" s="454">
        <f t="shared" si="19"/>
        <v>6</v>
      </c>
      <c r="B88" s="455"/>
      <c r="C88" s="365"/>
      <c r="D88" s="365"/>
      <c r="E88" s="32"/>
      <c r="F88" s="455"/>
      <c r="G88" s="455"/>
      <c r="H88" s="455"/>
      <c r="I88" s="455"/>
      <c r="J88" s="455"/>
      <c r="K88" s="456"/>
      <c r="L88" s="457"/>
      <c r="M88" s="457"/>
      <c r="N88" s="457"/>
      <c r="O88" s="457"/>
      <c r="P88" s="457"/>
      <c r="Q88" s="457"/>
      <c r="R88" s="457"/>
      <c r="S88" s="458"/>
      <c r="T88" s="459"/>
      <c r="U88" s="459"/>
      <c r="V88" s="459"/>
      <c r="W88" s="459"/>
      <c r="X88" s="460"/>
      <c r="Y88" s="460"/>
      <c r="Z88" s="460"/>
      <c r="AA88" s="460"/>
      <c r="AB88" s="460"/>
      <c r="AC88" s="460"/>
      <c r="AD88" s="461"/>
      <c r="AF88" s="50"/>
    </row>
    <row r="89" spans="1:32" ht="30" customHeight="1">
      <c r="A89" s="454">
        <f t="shared" si="19"/>
        <v>7</v>
      </c>
      <c r="B89" s="455"/>
      <c r="C89" s="365"/>
      <c r="D89" s="365"/>
      <c r="E89" s="32"/>
      <c r="F89" s="455"/>
      <c r="G89" s="455"/>
      <c r="H89" s="455"/>
      <c r="I89" s="455"/>
      <c r="J89" s="455"/>
      <c r="K89" s="456"/>
      <c r="L89" s="457"/>
      <c r="M89" s="457"/>
      <c r="N89" s="457"/>
      <c r="O89" s="457"/>
      <c r="P89" s="457"/>
      <c r="Q89" s="457"/>
      <c r="R89" s="457"/>
      <c r="S89" s="458"/>
      <c r="T89" s="459"/>
      <c r="U89" s="459"/>
      <c r="V89" s="459"/>
      <c r="W89" s="459"/>
      <c r="X89" s="460"/>
      <c r="Y89" s="460"/>
      <c r="Z89" s="460"/>
      <c r="AA89" s="460"/>
      <c r="AB89" s="460"/>
      <c r="AC89" s="460"/>
      <c r="AD89" s="461"/>
      <c r="AF89" s="50"/>
    </row>
    <row r="90" spans="1:32" ht="36" thickBot="1">
      <c r="A90" s="446" t="s">
        <v>921</v>
      </c>
      <c r="B90" s="446"/>
      <c r="C90" s="446"/>
      <c r="D90" s="446"/>
      <c r="E90" s="446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75" t="s">
        <v>111</v>
      </c>
      <c r="B91" s="449"/>
      <c r="C91" s="476" t="s">
        <v>52</v>
      </c>
      <c r="D91" s="476"/>
      <c r="E91" s="476" t="s">
        <v>53</v>
      </c>
      <c r="F91" s="476"/>
      <c r="G91" s="476"/>
      <c r="H91" s="476"/>
      <c r="I91" s="476"/>
      <c r="J91" s="476"/>
      <c r="K91" s="476" t="s">
        <v>54</v>
      </c>
      <c r="L91" s="476"/>
      <c r="M91" s="476"/>
      <c r="N91" s="476"/>
      <c r="O91" s="476"/>
      <c r="P91" s="476"/>
      <c r="Q91" s="476"/>
      <c r="R91" s="476"/>
      <c r="S91" s="476"/>
      <c r="T91" s="476" t="s">
        <v>55</v>
      </c>
      <c r="U91" s="476"/>
      <c r="V91" s="476" t="s">
        <v>56</v>
      </c>
      <c r="W91" s="476"/>
      <c r="X91" s="476"/>
      <c r="Y91" s="476" t="s">
        <v>51</v>
      </c>
      <c r="Z91" s="476"/>
      <c r="AA91" s="476"/>
      <c r="AB91" s="476"/>
      <c r="AC91" s="476"/>
      <c r="AD91" s="477"/>
      <c r="AF91" s="50"/>
    </row>
    <row r="92" spans="1:32" ht="30.75" customHeight="1">
      <c r="A92" s="462">
        <v>1</v>
      </c>
      <c r="B92" s="463"/>
      <c r="C92" s="478"/>
      <c r="D92" s="478"/>
      <c r="E92" s="478"/>
      <c r="F92" s="478"/>
      <c r="G92" s="478"/>
      <c r="H92" s="478"/>
      <c r="I92" s="478"/>
      <c r="J92" s="478"/>
      <c r="K92" s="478"/>
      <c r="L92" s="478"/>
      <c r="M92" s="478"/>
      <c r="N92" s="478"/>
      <c r="O92" s="478"/>
      <c r="P92" s="478"/>
      <c r="Q92" s="478"/>
      <c r="R92" s="478"/>
      <c r="S92" s="478"/>
      <c r="T92" s="478"/>
      <c r="U92" s="478"/>
      <c r="V92" s="479"/>
      <c r="W92" s="479"/>
      <c r="X92" s="479"/>
      <c r="Y92" s="480"/>
      <c r="Z92" s="480"/>
      <c r="AA92" s="480"/>
      <c r="AB92" s="480"/>
      <c r="AC92" s="480"/>
      <c r="AD92" s="481"/>
      <c r="AF92" s="50"/>
    </row>
    <row r="93" spans="1:32" ht="30.75" customHeight="1">
      <c r="A93" s="454">
        <v>2</v>
      </c>
      <c r="B93" s="455"/>
      <c r="C93" s="490"/>
      <c r="D93" s="490"/>
      <c r="E93" s="490"/>
      <c r="F93" s="490"/>
      <c r="G93" s="490"/>
      <c r="H93" s="490"/>
      <c r="I93" s="490"/>
      <c r="J93" s="490"/>
      <c r="K93" s="490"/>
      <c r="L93" s="490"/>
      <c r="M93" s="490"/>
      <c r="N93" s="490"/>
      <c r="O93" s="490"/>
      <c r="P93" s="490"/>
      <c r="Q93" s="490"/>
      <c r="R93" s="490"/>
      <c r="S93" s="490"/>
      <c r="T93" s="491"/>
      <c r="U93" s="491"/>
      <c r="V93" s="492"/>
      <c r="W93" s="492"/>
      <c r="X93" s="492"/>
      <c r="Y93" s="482"/>
      <c r="Z93" s="482"/>
      <c r="AA93" s="482"/>
      <c r="AB93" s="482"/>
      <c r="AC93" s="482"/>
      <c r="AD93" s="483"/>
      <c r="AF93" s="50"/>
    </row>
    <row r="94" spans="1:32" ht="30.75" customHeight="1" thickBot="1">
      <c r="A94" s="484">
        <v>3</v>
      </c>
      <c r="B94" s="485"/>
      <c r="C94" s="486"/>
      <c r="D94" s="486"/>
      <c r="E94" s="486"/>
      <c r="F94" s="486"/>
      <c r="G94" s="486"/>
      <c r="H94" s="486"/>
      <c r="I94" s="486"/>
      <c r="J94" s="486"/>
      <c r="K94" s="486"/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7"/>
      <c r="W94" s="487"/>
      <c r="X94" s="487"/>
      <c r="Y94" s="488"/>
      <c r="Z94" s="488"/>
      <c r="AA94" s="488"/>
      <c r="AB94" s="488"/>
      <c r="AC94" s="488"/>
      <c r="AD94" s="489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6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1" sqref="AI11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493" t="s">
        <v>187</v>
      </c>
      <c r="B1" s="493"/>
      <c r="C1" s="493"/>
      <c r="D1" s="493"/>
      <c r="E1" s="493"/>
      <c r="F1" s="493"/>
      <c r="G1" s="493"/>
      <c r="H1" s="493"/>
    </row>
    <row r="2" spans="1:33" ht="21.75" customHeight="1" thickBot="1">
      <c r="A2" s="83" t="s">
        <v>59</v>
      </c>
      <c r="B2" s="85" t="s">
        <v>73</v>
      </c>
      <c r="C2" s="86" t="s">
        <v>74</v>
      </c>
      <c r="D2" s="86" t="s">
        <v>75</v>
      </c>
      <c r="E2" s="86" t="s">
        <v>76</v>
      </c>
      <c r="F2" s="86" t="s">
        <v>77</v>
      </c>
      <c r="G2" s="86" t="s">
        <v>78</v>
      </c>
      <c r="H2" s="86" t="s">
        <v>79</v>
      </c>
      <c r="I2" s="86" t="s">
        <v>80</v>
      </c>
      <c r="J2" s="86" t="s">
        <v>81</v>
      </c>
      <c r="K2" s="86" t="s">
        <v>82</v>
      </c>
      <c r="L2" s="86" t="s">
        <v>83</v>
      </c>
      <c r="M2" s="86" t="s">
        <v>84</v>
      </c>
      <c r="N2" s="86" t="s">
        <v>85</v>
      </c>
      <c r="O2" s="86" t="s">
        <v>86</v>
      </c>
      <c r="P2" s="86" t="s">
        <v>87</v>
      </c>
      <c r="Q2" s="86" t="s">
        <v>88</v>
      </c>
      <c r="R2" s="86" t="s">
        <v>89</v>
      </c>
      <c r="S2" s="86" t="s">
        <v>90</v>
      </c>
      <c r="T2" s="86" t="s">
        <v>91</v>
      </c>
      <c r="U2" s="86" t="s">
        <v>92</v>
      </c>
      <c r="V2" s="86" t="s">
        <v>93</v>
      </c>
      <c r="W2" s="86" t="s">
        <v>94</v>
      </c>
      <c r="X2" s="86" t="s">
        <v>95</v>
      </c>
      <c r="Y2" s="86" t="s">
        <v>96</v>
      </c>
      <c r="Z2" s="86" t="s">
        <v>97</v>
      </c>
      <c r="AA2" s="86" t="s">
        <v>98</v>
      </c>
      <c r="AB2" s="86" t="s">
        <v>99</v>
      </c>
      <c r="AC2" s="86" t="s">
        <v>100</v>
      </c>
      <c r="AD2" s="86" t="s">
        <v>101</v>
      </c>
      <c r="AE2" s="86" t="s">
        <v>102</v>
      </c>
      <c r="AF2" s="87" t="s">
        <v>103</v>
      </c>
      <c r="AG2" s="83" t="s">
        <v>105</v>
      </c>
    </row>
    <row r="3" spans="1:33" ht="21.75" customHeight="1">
      <c r="A3" s="108" t="s">
        <v>60</v>
      </c>
      <c r="B3" s="109"/>
      <c r="C3" s="109">
        <f>'02'!AD6</f>
        <v>0.25</v>
      </c>
      <c r="D3" s="110">
        <f>'03'!AD6</f>
        <v>0</v>
      </c>
      <c r="E3" s="110">
        <f>'04'!AD6</f>
        <v>0.29166666666666669</v>
      </c>
      <c r="F3" s="110">
        <f>'05'!AD6</f>
        <v>0.29166666666666669</v>
      </c>
      <c r="G3" s="110">
        <f>'06'!AD6</f>
        <v>0.66666666666666663</v>
      </c>
      <c r="H3" s="110"/>
      <c r="I3" s="110"/>
      <c r="J3" s="110">
        <f>'09'!AD6</f>
        <v>0.29166666666666669</v>
      </c>
      <c r="K3" s="110">
        <f>'10'!AD6</f>
        <v>0.625</v>
      </c>
      <c r="L3" s="110">
        <f>'11'!AD6</f>
        <v>0</v>
      </c>
      <c r="M3" s="110">
        <f>'12'!AD6</f>
        <v>0</v>
      </c>
      <c r="N3" s="111">
        <f>'13'!AD6</f>
        <v>0</v>
      </c>
      <c r="O3" s="110"/>
      <c r="P3" s="110"/>
      <c r="Q3" s="110"/>
      <c r="R3" s="110">
        <f>'17'!AD6</f>
        <v>0</v>
      </c>
      <c r="S3" s="110">
        <f>'18'!AD6</f>
        <v>0</v>
      </c>
      <c r="T3" s="110">
        <f>'19'!AD6</f>
        <v>0</v>
      </c>
      <c r="U3" s="110">
        <f>'20'!AD6</f>
        <v>0.33333333333333331</v>
      </c>
      <c r="V3" s="110">
        <f>'21'!AD6</f>
        <v>0.29166666666666669</v>
      </c>
      <c r="W3" s="111"/>
      <c r="X3" s="111">
        <f>'23'!AD6</f>
        <v>0</v>
      </c>
      <c r="Y3" s="110">
        <f>'24'!AD6</f>
        <v>0</v>
      </c>
      <c r="Z3" s="110">
        <f>'25'!AD6</f>
        <v>0</v>
      </c>
      <c r="AA3" s="110">
        <f>'26'!AD6</f>
        <v>0</v>
      </c>
      <c r="AB3" s="110">
        <f>'27'!AD6</f>
        <v>0.33333333333333331</v>
      </c>
      <c r="AC3" s="110">
        <f>'28'!AD6</f>
        <v>0</v>
      </c>
      <c r="AD3" s="110"/>
      <c r="AE3" s="110">
        <f>'30'!AD6</f>
        <v>0.58333333333333337</v>
      </c>
      <c r="AF3" s="112">
        <f>'31'!AD6</f>
        <v>0</v>
      </c>
      <c r="AG3" s="113">
        <f>SUM(B3:AF3)/31</f>
        <v>0.12768817204301078</v>
      </c>
    </row>
    <row r="4" spans="1:33" ht="21.75" customHeight="1">
      <c r="A4" s="96" t="s">
        <v>61</v>
      </c>
      <c r="B4" s="94"/>
      <c r="C4" s="94">
        <f>'02'!AD7</f>
        <v>1</v>
      </c>
      <c r="D4" s="74">
        <f>'03'!AD7</f>
        <v>1</v>
      </c>
      <c r="E4" s="74">
        <f>'04'!AD7</f>
        <v>1</v>
      </c>
      <c r="F4" s="74">
        <f>'05'!AD7</f>
        <v>0</v>
      </c>
      <c r="G4" s="114">
        <f>'06'!AD7</f>
        <v>0.95833333333333337</v>
      </c>
      <c r="H4" s="74"/>
      <c r="I4" s="74"/>
      <c r="J4" s="74">
        <f>'09'!AD7</f>
        <v>1</v>
      </c>
      <c r="K4" s="74">
        <f>'10'!AD7</f>
        <v>1</v>
      </c>
      <c r="L4" s="74">
        <f>'11'!AD7</f>
        <v>0.25</v>
      </c>
      <c r="M4" s="74">
        <f>'12'!AD7</f>
        <v>0.5</v>
      </c>
      <c r="N4" s="74">
        <f>'13'!AD7</f>
        <v>0.75</v>
      </c>
      <c r="O4" s="74"/>
      <c r="P4" s="74"/>
      <c r="Q4" s="74"/>
      <c r="R4" s="74">
        <f>'17'!AD7</f>
        <v>0.875</v>
      </c>
      <c r="S4" s="74">
        <f>'18'!AD7</f>
        <v>0.70833333333333337</v>
      </c>
      <c r="T4" s="74">
        <f>'19'!AD7</f>
        <v>0</v>
      </c>
      <c r="U4" s="74">
        <f>'20'!AD7</f>
        <v>0.75</v>
      </c>
      <c r="V4" s="74">
        <f>'21'!AD7</f>
        <v>0</v>
      </c>
      <c r="W4" s="74"/>
      <c r="X4" s="74">
        <f>'23'!AD7</f>
        <v>0.83333333333333337</v>
      </c>
      <c r="Y4" s="74">
        <f>'24'!AD7</f>
        <v>1</v>
      </c>
      <c r="Z4" s="74">
        <f>'25'!AD7</f>
        <v>1</v>
      </c>
      <c r="AA4" s="74">
        <f>'26'!AD7</f>
        <v>1</v>
      </c>
      <c r="AB4" s="74">
        <f>'27'!AD7</f>
        <v>1</v>
      </c>
      <c r="AC4" s="74">
        <f>'28'!AD7</f>
        <v>1</v>
      </c>
      <c r="AD4" s="74"/>
      <c r="AE4" s="74">
        <f>'30'!AD7</f>
        <v>1</v>
      </c>
      <c r="AF4" s="75">
        <f>'31'!AD7</f>
        <v>1</v>
      </c>
      <c r="AG4" s="76">
        <f t="shared" ref="AG4:AG25" si="0">SUM(B4:AF4)/31</f>
        <v>0.56854838709677424</v>
      </c>
    </row>
    <row r="5" spans="1:33" ht="21.75" customHeight="1">
      <c r="A5" s="96" t="s">
        <v>62</v>
      </c>
      <c r="B5" s="94"/>
      <c r="C5" s="94">
        <f>'02'!AD8</f>
        <v>0.125</v>
      </c>
      <c r="D5" s="74">
        <f>'03'!AD8+'03'!AD9</f>
        <v>0.66666666666666674</v>
      </c>
      <c r="E5" s="74">
        <f>'04'!AD8</f>
        <v>0</v>
      </c>
      <c r="F5" s="74">
        <f>'05'!AD8</f>
        <v>0.95833333333333337</v>
      </c>
      <c r="G5" s="74">
        <f>'06'!AD8</f>
        <v>1</v>
      </c>
      <c r="H5" s="74"/>
      <c r="I5" s="74"/>
      <c r="J5" s="74">
        <f>'09'!AD8</f>
        <v>1</v>
      </c>
      <c r="K5" s="74">
        <f>'10'!AD8</f>
        <v>0.20833333333333334</v>
      </c>
      <c r="L5" s="74">
        <f>'11'!AD8</f>
        <v>0</v>
      </c>
      <c r="M5" s="74">
        <f>'12'!AD8</f>
        <v>0</v>
      </c>
      <c r="N5" s="74">
        <f>'13'!AD8</f>
        <v>0.16666666666666666</v>
      </c>
      <c r="O5" s="74"/>
      <c r="P5" s="74"/>
      <c r="Q5" s="74"/>
      <c r="R5" s="74">
        <f>'17'!AD8</f>
        <v>0.29166666666666669</v>
      </c>
      <c r="S5" s="74">
        <f>'18'!AD8</f>
        <v>0.20833333333333334</v>
      </c>
      <c r="T5" s="74">
        <f>'19'!AD8</f>
        <v>0.29166666666666669</v>
      </c>
      <c r="U5" s="74">
        <f>'20'!AD8</f>
        <v>0.875</v>
      </c>
      <c r="V5" s="74">
        <f>'21'!AD8</f>
        <v>1</v>
      </c>
      <c r="W5" s="114"/>
      <c r="X5" s="74">
        <f>'23'!AD8+'23'!AD9</f>
        <v>0.33333333333333337</v>
      </c>
      <c r="Y5" s="74">
        <f>'24'!AD8+'24'!AD9</f>
        <v>0.45833333333333337</v>
      </c>
      <c r="Z5" s="74">
        <f>'25'!AD8</f>
        <v>0.95833333333333337</v>
      </c>
      <c r="AA5" s="74">
        <f>'26'!AD8</f>
        <v>0.75</v>
      </c>
      <c r="AB5" s="74">
        <f>'27'!AD8</f>
        <v>0.29166666666666669</v>
      </c>
      <c r="AC5" s="74">
        <f>'28'!AD8</f>
        <v>0.16666666666666666</v>
      </c>
      <c r="AD5" s="74"/>
      <c r="AE5" s="74">
        <f>'30'!AD8</f>
        <v>0.16666666666666666</v>
      </c>
      <c r="AF5" s="75">
        <f>'31'!AD8+'31'!AD9</f>
        <v>0.95833333333333337</v>
      </c>
      <c r="AG5" s="76">
        <f t="shared" si="0"/>
        <v>0.35080645161290319</v>
      </c>
    </row>
    <row r="6" spans="1:33" ht="21.75" customHeight="1">
      <c r="A6" s="96" t="s">
        <v>63</v>
      </c>
      <c r="B6" s="94"/>
      <c r="C6" s="94">
        <f>'02'!AD9</f>
        <v>1</v>
      </c>
      <c r="D6" s="74">
        <f>'03'!AD10</f>
        <v>0.20833333333333334</v>
      </c>
      <c r="E6" s="74">
        <f>'04'!AD9</f>
        <v>0.16666666666666666</v>
      </c>
      <c r="F6" s="74">
        <f>'05'!AD9</f>
        <v>0.16666666666666666</v>
      </c>
      <c r="G6" s="74">
        <f>'06'!AD9</f>
        <v>0.79166666666666663</v>
      </c>
      <c r="H6" s="74"/>
      <c r="I6" s="74"/>
      <c r="J6" s="74">
        <f>'09'!AD9</f>
        <v>1</v>
      </c>
      <c r="K6" s="74">
        <f>'10'!AD9</f>
        <v>1</v>
      </c>
      <c r="L6" s="74">
        <f>'11'!AD9</f>
        <v>0</v>
      </c>
      <c r="M6" s="74">
        <f>'12'!AD9</f>
        <v>0</v>
      </c>
      <c r="N6" s="74">
        <f>'13'!AD9</f>
        <v>0.70833333333333337</v>
      </c>
      <c r="O6" s="74"/>
      <c r="P6" s="74"/>
      <c r="Q6" s="74"/>
      <c r="R6" s="74">
        <f>'17'!AD9</f>
        <v>1</v>
      </c>
      <c r="S6" s="74">
        <f>'18'!AD9</f>
        <v>0.83333333333333337</v>
      </c>
      <c r="T6" s="74">
        <f>'19'!AD9</f>
        <v>1</v>
      </c>
      <c r="U6" s="74">
        <f>'20'!AD9</f>
        <v>0.75</v>
      </c>
      <c r="V6" s="74">
        <f>'21'!AD9</f>
        <v>1</v>
      </c>
      <c r="W6" s="74"/>
      <c r="X6" s="74">
        <f>'23'!AD10+'23'!AD11</f>
        <v>0.95833333333333326</v>
      </c>
      <c r="Y6" s="74">
        <f>'24'!AD10</f>
        <v>1</v>
      </c>
      <c r="Z6" s="74">
        <f>'25'!AD9</f>
        <v>1</v>
      </c>
      <c r="AA6" s="74">
        <f>'26'!AD9</f>
        <v>1</v>
      </c>
      <c r="AB6" s="74">
        <f>'27'!AD9</f>
        <v>1</v>
      </c>
      <c r="AC6" s="74">
        <f>'28'!AD9</f>
        <v>0.76772233474498253</v>
      </c>
      <c r="AD6" s="74"/>
      <c r="AE6" s="74">
        <f>'30'!AD9</f>
        <v>0</v>
      </c>
      <c r="AF6" s="75">
        <f>'31'!AD10</f>
        <v>0.45833333333333331</v>
      </c>
      <c r="AG6" s="76">
        <f t="shared" si="0"/>
        <v>0.50998029036811776</v>
      </c>
    </row>
    <row r="7" spans="1:33" ht="21.75" customHeight="1">
      <c r="A7" s="96" t="s">
        <v>64</v>
      </c>
      <c r="B7" s="94"/>
      <c r="C7" s="94">
        <f>'02'!AD10</f>
        <v>0.25</v>
      </c>
      <c r="D7" s="74">
        <f>'03'!AD11</f>
        <v>0</v>
      </c>
      <c r="E7" s="74">
        <f>'04'!AD10</f>
        <v>0</v>
      </c>
      <c r="F7" s="74">
        <f>'05'!AD10</f>
        <v>0</v>
      </c>
      <c r="G7" s="74">
        <f>'06'!AD10</f>
        <v>0.41666666666666669</v>
      </c>
      <c r="H7" s="74"/>
      <c r="I7" s="74"/>
      <c r="J7" s="74">
        <f>'09'!AD10</f>
        <v>0.58333333333333337</v>
      </c>
      <c r="K7" s="74">
        <f>'10'!AD10</f>
        <v>1</v>
      </c>
      <c r="L7" s="74">
        <f>'11'!AD10+'11'!AD11</f>
        <v>0.91666666666666674</v>
      </c>
      <c r="M7" s="74">
        <f>'12'!AD10+'12'!AD11</f>
        <v>0.70833333333333337</v>
      </c>
      <c r="N7" s="74">
        <f>'13'!AD10</f>
        <v>0</v>
      </c>
      <c r="O7" s="74"/>
      <c r="P7" s="74"/>
      <c r="Q7" s="74"/>
      <c r="R7" s="74">
        <f>'17'!AD10</f>
        <v>1</v>
      </c>
      <c r="S7" s="74">
        <f>'18'!AD10</f>
        <v>1</v>
      </c>
      <c r="T7" s="74">
        <f>'19'!AD10</f>
        <v>1</v>
      </c>
      <c r="U7" s="74">
        <f>'20'!AD10+'20'!AD11+'20'!AD12</f>
        <v>0.66666666666666663</v>
      </c>
      <c r="V7" s="74">
        <f>'21'!AD10</f>
        <v>0.91666666666666663</v>
      </c>
      <c r="W7" s="74"/>
      <c r="X7" s="74">
        <f>'23'!AD12</f>
        <v>1</v>
      </c>
      <c r="Y7" s="74">
        <f>'24'!AD11</f>
        <v>1</v>
      </c>
      <c r="Z7" s="74">
        <f>'25'!AD10</f>
        <v>1</v>
      </c>
      <c r="AA7" s="74">
        <f>'26'!AD10</f>
        <v>1</v>
      </c>
      <c r="AB7" s="74">
        <f>'27'!AD10</f>
        <v>1</v>
      </c>
      <c r="AC7" s="74">
        <f>'28'!AD10</f>
        <v>1</v>
      </c>
      <c r="AD7" s="74"/>
      <c r="AE7" s="74">
        <f>'30'!AD10</f>
        <v>0.93601532567049806</v>
      </c>
      <c r="AF7" s="75">
        <f>'31'!AD11</f>
        <v>0.91666666666666663</v>
      </c>
      <c r="AG7" s="76">
        <f t="shared" si="0"/>
        <v>0.5261617846990484</v>
      </c>
    </row>
    <row r="8" spans="1:33" ht="21.75" customHeight="1">
      <c r="A8" s="96" t="s">
        <v>65</v>
      </c>
      <c r="B8" s="94"/>
      <c r="C8" s="94">
        <f>'02'!AD11</f>
        <v>0.5</v>
      </c>
      <c r="D8" s="74">
        <f>'03'!AD12</f>
        <v>0</v>
      </c>
      <c r="E8" s="74">
        <f>'04'!AD11</f>
        <v>0</v>
      </c>
      <c r="F8" s="74">
        <f>'05'!AD11</f>
        <v>0</v>
      </c>
      <c r="G8" s="74">
        <f>'06'!AD11</f>
        <v>0.70833333333333337</v>
      </c>
      <c r="H8" s="74"/>
      <c r="I8" s="74"/>
      <c r="J8" s="74">
        <f>'09'!AD11</f>
        <v>0.375</v>
      </c>
      <c r="K8" s="74">
        <f>'10'!AD11</f>
        <v>0</v>
      </c>
      <c r="L8" s="74">
        <f>'11'!AD12</f>
        <v>0</v>
      </c>
      <c r="M8" s="74">
        <f>'12'!AD12</f>
        <v>0</v>
      </c>
      <c r="N8" s="74">
        <f>'13'!AD11</f>
        <v>0.75</v>
      </c>
      <c r="O8" s="74"/>
      <c r="P8" s="74"/>
      <c r="Q8" s="74"/>
      <c r="R8" s="74">
        <f>'17'!AD11</f>
        <v>0.79166666666666663</v>
      </c>
      <c r="S8" s="74">
        <f>'18'!AD11</f>
        <v>1</v>
      </c>
      <c r="T8" s="74">
        <f>'19'!AD11</f>
        <v>1</v>
      </c>
      <c r="U8" s="74">
        <f>'20'!AD13</f>
        <v>1</v>
      </c>
      <c r="V8" s="74">
        <f>'21'!AD11</f>
        <v>1</v>
      </c>
      <c r="W8" s="74"/>
      <c r="X8" s="74">
        <f>'23'!AD13</f>
        <v>0.95833333333333337</v>
      </c>
      <c r="Y8" s="74">
        <f>'24'!AD12+'24'!AD13</f>
        <v>0.5</v>
      </c>
      <c r="Z8" s="74">
        <f>'25'!AD11+'25'!AD12</f>
        <v>0.33333333333333331</v>
      </c>
      <c r="AA8" s="74">
        <f>'26'!AD11+'26'!AD12</f>
        <v>0.66666666666666663</v>
      </c>
      <c r="AB8" s="74">
        <f>'27'!AD11+'27'!AD12</f>
        <v>0.54166666666666674</v>
      </c>
      <c r="AC8" s="74">
        <f>'28'!AD11</f>
        <v>0.58333333333333337</v>
      </c>
      <c r="AD8" s="74"/>
      <c r="AE8" s="74">
        <f>'30'!AD11</f>
        <v>0</v>
      </c>
      <c r="AF8" s="75">
        <f>'31'!AD12</f>
        <v>0.45833333333333331</v>
      </c>
      <c r="AG8" s="76">
        <f t="shared" si="0"/>
        <v>0.36021505376344087</v>
      </c>
    </row>
    <row r="9" spans="1:33" ht="21.75" customHeight="1">
      <c r="A9" s="96" t="s">
        <v>66</v>
      </c>
      <c r="B9" s="94"/>
      <c r="C9" s="94">
        <f>'02'!AD12</f>
        <v>1</v>
      </c>
      <c r="D9" s="74">
        <f>'03'!AD13</f>
        <v>1</v>
      </c>
      <c r="E9" s="74">
        <f>'04'!AD12</f>
        <v>1</v>
      </c>
      <c r="F9" s="74">
        <f>'05'!AD12</f>
        <v>1</v>
      </c>
      <c r="G9" s="74">
        <f>'06'!AD12</f>
        <v>1</v>
      </c>
      <c r="H9" s="74"/>
      <c r="I9" s="74"/>
      <c r="J9" s="74">
        <f>'09'!AD12</f>
        <v>1</v>
      </c>
      <c r="K9" s="74">
        <f>'10'!AD12</f>
        <v>1</v>
      </c>
      <c r="L9" s="74">
        <f>'11'!AD13</f>
        <v>1</v>
      </c>
      <c r="M9" s="74">
        <f>'12'!AD13</f>
        <v>1</v>
      </c>
      <c r="N9" s="74">
        <f>'13'!AD12</f>
        <v>1</v>
      </c>
      <c r="O9" s="74"/>
      <c r="P9" s="74"/>
      <c r="Q9" s="74"/>
      <c r="R9" s="74">
        <f>'17'!AD12</f>
        <v>1</v>
      </c>
      <c r="S9" s="74">
        <f>'18'!AD12</f>
        <v>1</v>
      </c>
      <c r="T9" s="74">
        <f>'19'!AD12</f>
        <v>1</v>
      </c>
      <c r="U9" s="74">
        <f>'20'!AD14</f>
        <v>1</v>
      </c>
      <c r="V9" s="74">
        <f>'21'!AD12</f>
        <v>0.83333333333333337</v>
      </c>
      <c r="W9" s="74"/>
      <c r="X9" s="74">
        <f>'23'!AD14</f>
        <v>1</v>
      </c>
      <c r="Y9" s="74">
        <f>'24'!AD14</f>
        <v>1</v>
      </c>
      <c r="Z9" s="74">
        <f>'25'!AD13</f>
        <v>1</v>
      </c>
      <c r="AA9" s="74">
        <f>'26'!AD13</f>
        <v>1</v>
      </c>
      <c r="AB9" s="74">
        <f>'27'!AD13</f>
        <v>1</v>
      </c>
      <c r="AC9" s="74">
        <f>'28'!AD12</f>
        <v>1</v>
      </c>
      <c r="AD9" s="74"/>
      <c r="AE9" s="74">
        <f>'30'!AD12</f>
        <v>0.83333333333333337</v>
      </c>
      <c r="AF9" s="75">
        <f>'31'!AD13</f>
        <v>1</v>
      </c>
      <c r="AG9" s="76">
        <f t="shared" si="0"/>
        <v>0.73118279569892475</v>
      </c>
    </row>
    <row r="10" spans="1:33" ht="21.75" customHeight="1">
      <c r="A10" s="96" t="s">
        <v>67</v>
      </c>
      <c r="B10" s="94"/>
      <c r="C10" s="94">
        <f>'02'!AD13</f>
        <v>1</v>
      </c>
      <c r="D10" s="74">
        <f>'03'!AD14</f>
        <v>0.625</v>
      </c>
      <c r="E10" s="74">
        <f>'04'!AD13</f>
        <v>1</v>
      </c>
      <c r="F10" s="74">
        <f>'05'!AD13</f>
        <v>1</v>
      </c>
      <c r="G10" s="74">
        <f>'06'!AD13</f>
        <v>0.95833333333333337</v>
      </c>
      <c r="H10" s="74"/>
      <c r="I10" s="74"/>
      <c r="J10" s="74">
        <f>'09'!AD13</f>
        <v>0.66666666666666663</v>
      </c>
      <c r="K10" s="74">
        <f>'10'!AD13</f>
        <v>1</v>
      </c>
      <c r="L10" s="74">
        <f>'11'!AD14</f>
        <v>1</v>
      </c>
      <c r="M10" s="74">
        <f>'12'!AD14</f>
        <v>0</v>
      </c>
      <c r="N10" s="74">
        <f>'13'!AD13</f>
        <v>1</v>
      </c>
      <c r="O10" s="74"/>
      <c r="P10" s="74"/>
      <c r="Q10" s="74"/>
      <c r="R10" s="74">
        <f>'17'!AD13</f>
        <v>1</v>
      </c>
      <c r="S10" s="74">
        <f>'18'!AD13</f>
        <v>1</v>
      </c>
      <c r="T10" s="74">
        <f>'19'!AD13</f>
        <v>1</v>
      </c>
      <c r="U10" s="74">
        <f>'20'!AD15</f>
        <v>1</v>
      </c>
      <c r="V10" s="74">
        <f>'21'!AD13</f>
        <v>1</v>
      </c>
      <c r="W10" s="74"/>
      <c r="X10" s="74">
        <f>'23'!AD15</f>
        <v>1</v>
      </c>
      <c r="Y10" s="74">
        <f>'24'!AD15</f>
        <v>1</v>
      </c>
      <c r="Z10" s="74">
        <f>'25'!AD14</f>
        <v>1</v>
      </c>
      <c r="AA10" s="74">
        <f>'26'!AD14</f>
        <v>0</v>
      </c>
      <c r="AB10" s="74">
        <f>'27'!AD14</f>
        <v>0</v>
      </c>
      <c r="AC10" s="74">
        <f>'28'!AD13</f>
        <v>0.875</v>
      </c>
      <c r="AD10" s="74"/>
      <c r="AE10" s="74">
        <f>'30'!AD13</f>
        <v>1</v>
      </c>
      <c r="AF10" s="75">
        <f>'31'!AD14</f>
        <v>0.875</v>
      </c>
      <c r="AG10" s="76">
        <f t="shared" si="0"/>
        <v>0.61290322580645162</v>
      </c>
    </row>
    <row r="11" spans="1:33" ht="21.75" customHeight="1">
      <c r="A11" s="101" t="s">
        <v>68</v>
      </c>
      <c r="B11" s="102"/>
      <c r="C11" s="102">
        <f>'02'!AD14</f>
        <v>0.41666666666666669</v>
      </c>
      <c r="D11" s="103">
        <f>'03'!AD15</f>
        <v>0.41666666666666669</v>
      </c>
      <c r="E11" s="103">
        <f>'04'!AD14</f>
        <v>0</v>
      </c>
      <c r="F11" s="103">
        <f>'05'!AD14</f>
        <v>0</v>
      </c>
      <c r="G11" s="103">
        <f>'06'!AD14</f>
        <v>0</v>
      </c>
      <c r="H11" s="103"/>
      <c r="I11" s="103"/>
      <c r="J11" s="103">
        <f>'09'!AD14</f>
        <v>0</v>
      </c>
      <c r="K11" s="103">
        <f>'10'!AD14</f>
        <v>0</v>
      </c>
      <c r="L11" s="103">
        <f>'11'!AD15</f>
        <v>0</v>
      </c>
      <c r="M11" s="103">
        <f>'12'!AD15</f>
        <v>0</v>
      </c>
      <c r="N11" s="103">
        <f>'13'!AD14+'13'!AD15</f>
        <v>0.29166666666666663</v>
      </c>
      <c r="O11" s="103"/>
      <c r="P11" s="103"/>
      <c r="Q11" s="103"/>
      <c r="R11" s="103">
        <f>'17'!AD14</f>
        <v>0</v>
      </c>
      <c r="S11" s="103">
        <f>'18'!AD14</f>
        <v>0</v>
      </c>
      <c r="T11" s="103">
        <f>'19'!AD14</f>
        <v>0.875</v>
      </c>
      <c r="U11" s="103">
        <f>'20'!AD16</f>
        <v>0.91666666666666663</v>
      </c>
      <c r="V11" s="103">
        <f>'21'!AD14</f>
        <v>0</v>
      </c>
      <c r="W11" s="103"/>
      <c r="X11" s="103">
        <f>'23'!AD16</f>
        <v>0</v>
      </c>
      <c r="Y11" s="103">
        <f>'24'!AD16</f>
        <v>0</v>
      </c>
      <c r="Z11" s="103">
        <f>'25'!AD15</f>
        <v>0</v>
      </c>
      <c r="AA11" s="103">
        <f>'26'!AD15</f>
        <v>0</v>
      </c>
      <c r="AB11" s="103">
        <f>'27'!AD15</f>
        <v>0</v>
      </c>
      <c r="AC11" s="103">
        <f>'28'!AD14</f>
        <v>0</v>
      </c>
      <c r="AD11" s="103"/>
      <c r="AE11" s="103">
        <f>'30'!AD14</f>
        <v>0</v>
      </c>
      <c r="AF11" s="104">
        <f>'31'!AD15</f>
        <v>0.33333333333333331</v>
      </c>
      <c r="AG11" s="105">
        <f t="shared" si="0"/>
        <v>0.10483870967741936</v>
      </c>
    </row>
    <row r="12" spans="1:33" ht="21.75" customHeight="1">
      <c r="A12" s="96" t="s">
        <v>69</v>
      </c>
      <c r="B12" s="94"/>
      <c r="C12" s="94">
        <f>'02'!AD15</f>
        <v>0</v>
      </c>
      <c r="D12" s="74">
        <f>'03'!AD16</f>
        <v>0</v>
      </c>
      <c r="E12" s="74">
        <f>'04'!AD15</f>
        <v>0</v>
      </c>
      <c r="F12" s="74">
        <f>'05'!AD15</f>
        <v>0</v>
      </c>
      <c r="G12" s="74">
        <f>'06'!AD15</f>
        <v>0</v>
      </c>
      <c r="H12" s="74"/>
      <c r="I12" s="74"/>
      <c r="J12" s="74">
        <f>'09'!AD15</f>
        <v>0</v>
      </c>
      <c r="K12" s="74">
        <f>'10'!AD15</f>
        <v>0</v>
      </c>
      <c r="L12" s="74">
        <f>'11'!AD16</f>
        <v>0</v>
      </c>
      <c r="M12" s="74">
        <f>'12'!AD16</f>
        <v>0</v>
      </c>
      <c r="N12" s="74">
        <f>'13'!AD16</f>
        <v>0</v>
      </c>
      <c r="O12" s="74"/>
      <c r="P12" s="74"/>
      <c r="Q12" s="74"/>
      <c r="R12" s="74">
        <f>'17'!AD15</f>
        <v>0</v>
      </c>
      <c r="S12" s="74">
        <f>'18'!AD15</f>
        <v>0</v>
      </c>
      <c r="T12" s="74">
        <f>'19'!AD15</f>
        <v>0</v>
      </c>
      <c r="U12" s="74">
        <f>'20'!AD17</f>
        <v>0</v>
      </c>
      <c r="V12" s="74">
        <f>'21'!AD15</f>
        <v>0.45833333333333331</v>
      </c>
      <c r="W12" s="74"/>
      <c r="X12" s="74">
        <f>'23'!AD17</f>
        <v>0</v>
      </c>
      <c r="Y12" s="74">
        <f>'24'!AD17</f>
        <v>0</v>
      </c>
      <c r="Z12" s="74">
        <f>'25'!AD16</f>
        <v>0</v>
      </c>
      <c r="AA12" s="74">
        <f>'26'!AD16</f>
        <v>0</v>
      </c>
      <c r="AB12" s="74">
        <f>'27'!AD16</f>
        <v>0</v>
      </c>
      <c r="AC12" s="74">
        <f>'28'!AD15</f>
        <v>0</v>
      </c>
      <c r="AD12" s="74"/>
      <c r="AE12" s="74">
        <f>'30'!AD15</f>
        <v>0</v>
      </c>
      <c r="AF12" s="75">
        <f>'31'!AD16</f>
        <v>0</v>
      </c>
      <c r="AG12" s="76">
        <f t="shared" si="0"/>
        <v>1.4784946236559139E-2</v>
      </c>
    </row>
    <row r="13" spans="1:33" ht="21.75" customHeight="1">
      <c r="A13" s="96" t="s">
        <v>70</v>
      </c>
      <c r="B13" s="94"/>
      <c r="C13" s="94">
        <f>'02'!AD16</f>
        <v>0.79166666666666663</v>
      </c>
      <c r="D13" s="74">
        <f>'03'!AD17</f>
        <v>0.83333333333333337</v>
      </c>
      <c r="E13" s="74">
        <f>'04'!AD16</f>
        <v>0.83333333333333337</v>
      </c>
      <c r="F13" s="74">
        <f>'05'!AD16+'05'!AD17</f>
        <v>0.80552969170287603</v>
      </c>
      <c r="G13" s="74">
        <f>'06'!AD16</f>
        <v>0.875</v>
      </c>
      <c r="H13" s="74"/>
      <c r="I13" s="74"/>
      <c r="J13" s="74">
        <f>'09'!AD16</f>
        <v>0.25</v>
      </c>
      <c r="K13" s="74">
        <f>'10'!AD16</f>
        <v>0</v>
      </c>
      <c r="L13" s="74">
        <f>'11'!AD17</f>
        <v>0</v>
      </c>
      <c r="M13" s="74">
        <f>'12'!AD17</f>
        <v>0.95833333333333337</v>
      </c>
      <c r="N13" s="74">
        <f>'13'!AD17</f>
        <v>1</v>
      </c>
      <c r="O13" s="74"/>
      <c r="P13" s="74"/>
      <c r="Q13" s="74"/>
      <c r="R13" s="74">
        <f>'17'!AD16</f>
        <v>0.91666666666666663</v>
      </c>
      <c r="S13" s="74">
        <f>'18'!AD16</f>
        <v>1</v>
      </c>
      <c r="T13" s="74">
        <f>'19'!AD16</f>
        <v>1</v>
      </c>
      <c r="U13" s="74">
        <f>'20'!AD18</f>
        <v>1</v>
      </c>
      <c r="V13" s="74">
        <f>'21'!AD16</f>
        <v>1</v>
      </c>
      <c r="W13" s="74"/>
      <c r="X13" s="74">
        <f>'23'!AD18</f>
        <v>1</v>
      </c>
      <c r="Y13" s="74">
        <f>'24'!AD18</f>
        <v>0.95833333333333337</v>
      </c>
      <c r="Z13" s="74">
        <f>'25'!AD17</f>
        <v>0.75</v>
      </c>
      <c r="AA13" s="74">
        <f>'26'!AD17</f>
        <v>0.79166666666666663</v>
      </c>
      <c r="AB13" s="74">
        <f>'27'!AD17</f>
        <v>1</v>
      </c>
      <c r="AC13" s="74">
        <f>'28'!AD16</f>
        <v>1</v>
      </c>
      <c r="AD13" s="74"/>
      <c r="AE13" s="74">
        <f>'30'!AD16</f>
        <v>0</v>
      </c>
      <c r="AF13" s="75">
        <f>'31'!AD17</f>
        <v>0.375</v>
      </c>
      <c r="AG13" s="76">
        <f t="shared" si="0"/>
        <v>0.55286654919471645</v>
      </c>
    </row>
    <row r="14" spans="1:33" ht="21.75" customHeight="1">
      <c r="A14" s="96" t="s">
        <v>71</v>
      </c>
      <c r="B14" s="94"/>
      <c r="C14" s="94">
        <f>'02'!AD17</f>
        <v>0</v>
      </c>
      <c r="D14" s="74">
        <f>'03'!AD18</f>
        <v>0</v>
      </c>
      <c r="E14" s="74">
        <f>'04'!AD17</f>
        <v>0</v>
      </c>
      <c r="F14" s="74">
        <f>'05'!AD18</f>
        <v>0</v>
      </c>
      <c r="G14" s="74">
        <f>'06'!AD17</f>
        <v>0</v>
      </c>
      <c r="H14" s="74"/>
      <c r="I14" s="74"/>
      <c r="J14" s="74">
        <f>'09'!AD17</f>
        <v>0</v>
      </c>
      <c r="K14" s="74">
        <f>'10'!AD17</f>
        <v>0</v>
      </c>
      <c r="L14" s="74">
        <f>'11'!AD18</f>
        <v>0</v>
      </c>
      <c r="M14" s="74">
        <f>'12'!AD18</f>
        <v>0</v>
      </c>
      <c r="N14" s="74">
        <f>'13'!AD18</f>
        <v>0</v>
      </c>
      <c r="O14" s="74"/>
      <c r="P14" s="74"/>
      <c r="Q14" s="74"/>
      <c r="R14" s="74">
        <f>'17'!AD17</f>
        <v>0</v>
      </c>
      <c r="S14" s="74">
        <f>'18'!AD17</f>
        <v>0</v>
      </c>
      <c r="T14" s="74">
        <f>'19'!AD17</f>
        <v>0</v>
      </c>
      <c r="U14" s="74">
        <f>'20'!AD19</f>
        <v>0</v>
      </c>
      <c r="V14" s="74">
        <f>'21'!AD17</f>
        <v>0</v>
      </c>
      <c r="W14" s="74"/>
      <c r="X14" s="74">
        <f>'23'!AD19</f>
        <v>0</v>
      </c>
      <c r="Y14" s="74">
        <f>'24'!AD19</f>
        <v>0.75</v>
      </c>
      <c r="Z14" s="74">
        <f>'25'!AD18</f>
        <v>0.70833333333333337</v>
      </c>
      <c r="AA14" s="74">
        <f>'26'!AD18</f>
        <v>0</v>
      </c>
      <c r="AB14" s="74">
        <f>'27'!AD18</f>
        <v>0.16666666666666666</v>
      </c>
      <c r="AC14" s="74">
        <f>'28'!AD17</f>
        <v>0.95833333333333337</v>
      </c>
      <c r="AD14" s="74"/>
      <c r="AE14" s="74">
        <f>'30'!AD17</f>
        <v>1</v>
      </c>
      <c r="AF14" s="75">
        <f>'31'!AD18</f>
        <v>0.5</v>
      </c>
      <c r="AG14" s="76">
        <f t="shared" si="0"/>
        <v>0.1317204301075269</v>
      </c>
    </row>
    <row r="15" spans="1:33" ht="21.75" customHeight="1">
      <c r="A15" s="96" t="s">
        <v>72</v>
      </c>
      <c r="B15" s="94"/>
      <c r="C15" s="94">
        <f>'02'!AD18</f>
        <v>1</v>
      </c>
      <c r="D15" s="74">
        <f>'03'!AD19</f>
        <v>0</v>
      </c>
      <c r="E15" s="74">
        <f>'04'!AD18</f>
        <v>0</v>
      </c>
      <c r="F15" s="74">
        <f>'05'!AD19</f>
        <v>0</v>
      </c>
      <c r="G15" s="74">
        <f>'06'!AD18</f>
        <v>0</v>
      </c>
      <c r="H15" s="74"/>
      <c r="I15" s="74"/>
      <c r="J15" s="74">
        <f>'09'!AD18</f>
        <v>0</v>
      </c>
      <c r="K15" s="74">
        <f>'10'!AD18</f>
        <v>0</v>
      </c>
      <c r="L15" s="74">
        <f>'11'!AD19</f>
        <v>0</v>
      </c>
      <c r="M15" s="74">
        <f>'12'!AD19</f>
        <v>0</v>
      </c>
      <c r="N15" s="74">
        <f>'13'!AD19</f>
        <v>0.58333333333333337</v>
      </c>
      <c r="O15" s="74"/>
      <c r="P15" s="74"/>
      <c r="Q15" s="74"/>
      <c r="R15" s="74">
        <f>'17'!AD18</f>
        <v>8.3333333333333329E-2</v>
      </c>
      <c r="S15" s="74">
        <f>'18'!AD18</f>
        <v>8.3333333333333329E-2</v>
      </c>
      <c r="T15" s="74">
        <f>'19'!AD18</f>
        <v>0.16666666666666666</v>
      </c>
      <c r="U15" s="74">
        <f>'20'!AD20</f>
        <v>0.91666666666666663</v>
      </c>
      <c r="V15" s="74">
        <f>'21'!AD18</f>
        <v>0.33333333333333331</v>
      </c>
      <c r="W15" s="74"/>
      <c r="X15" s="74">
        <f>'23'!AD20</f>
        <v>0.63602681721947774</v>
      </c>
      <c r="Y15" s="74">
        <f>'24'!AD20</f>
        <v>0.16666666666666666</v>
      </c>
      <c r="Z15" s="74">
        <f>'25'!AD19</f>
        <v>0</v>
      </c>
      <c r="AA15" s="74">
        <f>'26'!AD19</f>
        <v>0</v>
      </c>
      <c r="AB15" s="74">
        <f>'27'!AD19</f>
        <v>0.83333333333333337</v>
      </c>
      <c r="AC15" s="74">
        <f>'28'!AD18</f>
        <v>1</v>
      </c>
      <c r="AD15" s="74"/>
      <c r="AE15" s="74">
        <f>'30'!AD18</f>
        <v>1</v>
      </c>
      <c r="AF15" s="75">
        <f>'31'!AD19</f>
        <v>1</v>
      </c>
      <c r="AG15" s="76">
        <f t="shared" si="0"/>
        <v>0.25169978980277885</v>
      </c>
    </row>
    <row r="16" spans="1:33" ht="21.75" customHeight="1">
      <c r="A16" s="96" t="s">
        <v>117</v>
      </c>
      <c r="B16" s="94"/>
      <c r="C16" s="94">
        <f>'02'!AD19</f>
        <v>1</v>
      </c>
      <c r="D16" s="74">
        <f>'03'!AD20</f>
        <v>1</v>
      </c>
      <c r="E16" s="74">
        <f>'04'!AD19</f>
        <v>0.58333333333333337</v>
      </c>
      <c r="F16" s="74">
        <f>'05'!AD20</f>
        <v>1</v>
      </c>
      <c r="G16" s="74">
        <f>'06'!AD19</f>
        <v>1</v>
      </c>
      <c r="H16" s="74"/>
      <c r="I16" s="74"/>
      <c r="J16" s="74">
        <f>'09'!AD19</f>
        <v>1</v>
      </c>
      <c r="K16" s="74">
        <f>'10'!AD19</f>
        <v>1</v>
      </c>
      <c r="L16" s="74">
        <f>'11'!AD20</f>
        <v>1</v>
      </c>
      <c r="M16" s="74">
        <f>'12'!AD20</f>
        <v>1</v>
      </c>
      <c r="N16" s="74">
        <f>'13'!AD20</f>
        <v>1</v>
      </c>
      <c r="O16" s="74"/>
      <c r="P16" s="74"/>
      <c r="Q16" s="74"/>
      <c r="R16" s="74">
        <f>'17'!AD19</f>
        <v>0.91666666666666663</v>
      </c>
      <c r="S16" s="74">
        <f>'18'!AD19</f>
        <v>1</v>
      </c>
      <c r="T16" s="74">
        <f>'19'!AD19</f>
        <v>0</v>
      </c>
      <c r="U16" s="74">
        <f>'20'!AD21</f>
        <v>0.16666666666666666</v>
      </c>
      <c r="V16" s="74">
        <f>'21'!AD19+'21'!AD20</f>
        <v>0.41666666666666669</v>
      </c>
      <c r="W16" s="74"/>
      <c r="X16" s="74">
        <f>'23'!AD21</f>
        <v>0</v>
      </c>
      <c r="Y16" s="74">
        <f>'24'!AD21</f>
        <v>0.20833333333333334</v>
      </c>
      <c r="Z16" s="74">
        <f>'25'!AD20</f>
        <v>0.95833333333333337</v>
      </c>
      <c r="AA16" s="74">
        <f>'26'!AD20</f>
        <v>0.91666666666666663</v>
      </c>
      <c r="AB16" s="74">
        <f>'27'!AD20</f>
        <v>0.83333333333333337</v>
      </c>
      <c r="AC16" s="74">
        <f>'28'!AD19</f>
        <v>0.79166666666666663</v>
      </c>
      <c r="AD16" s="74"/>
      <c r="AE16" s="74">
        <f>'30'!AD19</f>
        <v>0.70833333333333337</v>
      </c>
      <c r="AF16" s="75">
        <f>'31'!AD20</f>
        <v>0.625</v>
      </c>
      <c r="AG16" s="76">
        <f t="shared" si="0"/>
        <v>0.55241935483870963</v>
      </c>
    </row>
    <row r="17" spans="1:33" ht="21.75" customHeight="1">
      <c r="A17" s="96" t="s">
        <v>118</v>
      </c>
      <c r="B17" s="94"/>
      <c r="C17" s="94">
        <f>'02'!AD20</f>
        <v>1</v>
      </c>
      <c r="D17" s="74">
        <f>'03'!AD21</f>
        <v>0.875</v>
      </c>
      <c r="E17" s="74">
        <f>'04'!AD20</f>
        <v>0</v>
      </c>
      <c r="F17" s="74">
        <f>'05'!AD21</f>
        <v>0</v>
      </c>
      <c r="G17" s="74">
        <f>'06'!AD20</f>
        <v>0</v>
      </c>
      <c r="H17" s="74"/>
      <c r="I17" s="74"/>
      <c r="J17" s="74">
        <f>'09'!AD20</f>
        <v>0</v>
      </c>
      <c r="K17" s="74">
        <f>'10'!AD20</f>
        <v>0</v>
      </c>
      <c r="L17" s="74">
        <f>'11'!AD21</f>
        <v>0</v>
      </c>
      <c r="M17" s="74">
        <f>'12'!AD21</f>
        <v>0</v>
      </c>
      <c r="N17" s="74">
        <f>'13'!AD21</f>
        <v>0</v>
      </c>
      <c r="O17" s="74"/>
      <c r="P17" s="74"/>
      <c r="Q17" s="74"/>
      <c r="R17" s="74">
        <f>'17'!AD20</f>
        <v>0</v>
      </c>
      <c r="S17" s="74">
        <f>'18'!AD20</f>
        <v>0</v>
      </c>
      <c r="T17" s="74">
        <f>'19'!AD20</f>
        <v>0</v>
      </c>
      <c r="U17" s="74">
        <f>'20'!AD22</f>
        <v>0</v>
      </c>
      <c r="V17" s="74">
        <f>'21'!AD21</f>
        <v>0</v>
      </c>
      <c r="W17" s="74"/>
      <c r="X17" s="74">
        <f>'23'!AD22</f>
        <v>0</v>
      </c>
      <c r="Y17" s="74">
        <f>'24'!AD22</f>
        <v>0</v>
      </c>
      <c r="Z17" s="74">
        <f>'25'!AD21</f>
        <v>0</v>
      </c>
      <c r="AA17" s="74">
        <f>'26'!AD21</f>
        <v>0.54166666666666663</v>
      </c>
      <c r="AB17" s="74">
        <f>'27'!AD21</f>
        <v>0.83333333333333337</v>
      </c>
      <c r="AC17" s="74">
        <f>'28'!AD20</f>
        <v>0.875</v>
      </c>
      <c r="AD17" s="74"/>
      <c r="AE17" s="74">
        <f>'30'!AD20</f>
        <v>0.79166666666666663</v>
      </c>
      <c r="AF17" s="75">
        <f>'31'!AD21</f>
        <v>1</v>
      </c>
      <c r="AG17" s="76">
        <f t="shared" si="0"/>
        <v>0.19086021505376344</v>
      </c>
    </row>
    <row r="18" spans="1:33" ht="21.75" customHeight="1">
      <c r="A18" s="96" t="s">
        <v>119</v>
      </c>
      <c r="B18" s="94"/>
      <c r="C18" s="94">
        <f>'02'!AD21</f>
        <v>0</v>
      </c>
      <c r="D18" s="74">
        <f>'03'!AD22</f>
        <v>0</v>
      </c>
      <c r="E18" s="74">
        <f>'04'!AD21</f>
        <v>0.91666666666666663</v>
      </c>
      <c r="F18" s="74">
        <f>'05'!AD22</f>
        <v>1</v>
      </c>
      <c r="G18" s="74">
        <f>'06'!AD21</f>
        <v>1</v>
      </c>
      <c r="H18" s="74"/>
      <c r="I18" s="74"/>
      <c r="J18" s="74">
        <f>'09'!AD21</f>
        <v>0.5</v>
      </c>
      <c r="K18" s="74">
        <f>'10'!AD21</f>
        <v>0</v>
      </c>
      <c r="L18" s="74">
        <f>'11'!AD22</f>
        <v>0.41666666666666669</v>
      </c>
      <c r="M18" s="74">
        <f>'12'!AD22</f>
        <v>0.41666666666666669</v>
      </c>
      <c r="N18" s="74">
        <f>'13'!AD22</f>
        <v>0</v>
      </c>
      <c r="O18" s="74"/>
      <c r="P18" s="74"/>
      <c r="Q18" s="74"/>
      <c r="R18" s="74">
        <f>'17'!AD21</f>
        <v>0</v>
      </c>
      <c r="S18" s="74">
        <f>'18'!AD21</f>
        <v>0.58333333333333337</v>
      </c>
      <c r="T18" s="74">
        <f>'19'!AD21</f>
        <v>0.875</v>
      </c>
      <c r="U18" s="74">
        <f>'20'!AD23</f>
        <v>1</v>
      </c>
      <c r="V18" s="74">
        <f>'21'!AD22</f>
        <v>1</v>
      </c>
      <c r="W18" s="74"/>
      <c r="X18" s="74">
        <f>'23'!AD23</f>
        <v>1</v>
      </c>
      <c r="Y18" s="74">
        <f>'24'!AD23</f>
        <v>1</v>
      </c>
      <c r="Z18" s="74">
        <f>'25'!AD22</f>
        <v>1</v>
      </c>
      <c r="AA18" s="74">
        <f>'26'!AD22</f>
        <v>0.79166666666666663</v>
      </c>
      <c r="AB18" s="74">
        <f>'27'!AD22</f>
        <v>0.75</v>
      </c>
      <c r="AC18" s="74">
        <f>'28'!AD21</f>
        <v>0.875</v>
      </c>
      <c r="AD18" s="74"/>
      <c r="AE18" s="74">
        <f>'30'!AD21</f>
        <v>0.95833333333333337</v>
      </c>
      <c r="AF18" s="75">
        <f>'31'!AD22</f>
        <v>0.75</v>
      </c>
      <c r="AG18" s="76">
        <f t="shared" si="0"/>
        <v>0.47849462365591394</v>
      </c>
    </row>
    <row r="19" spans="1:33" ht="21.75" customHeight="1">
      <c r="A19" s="96" t="s">
        <v>135</v>
      </c>
      <c r="B19" s="94"/>
      <c r="C19" s="94">
        <f>'02'!AD22</f>
        <v>0</v>
      </c>
      <c r="D19" s="74">
        <f>'03'!AD23</f>
        <v>0</v>
      </c>
      <c r="E19" s="74">
        <f>'04'!AD22</f>
        <v>0</v>
      </c>
      <c r="F19" s="74">
        <f>'05'!AD23</f>
        <v>0</v>
      </c>
      <c r="G19" s="74">
        <f>'06'!AD22</f>
        <v>0</v>
      </c>
      <c r="H19" s="74"/>
      <c r="I19" s="74"/>
      <c r="J19" s="74">
        <f>'09'!AD22</f>
        <v>0</v>
      </c>
      <c r="K19" s="74">
        <f>'10'!AD22</f>
        <v>0</v>
      </c>
      <c r="L19" s="74">
        <f>'11'!AD23</f>
        <v>0</v>
      </c>
      <c r="M19" s="74">
        <f>'12'!AD23</f>
        <v>0</v>
      </c>
      <c r="N19" s="74">
        <f>'13'!AD23</f>
        <v>0</v>
      </c>
      <c r="O19" s="74"/>
      <c r="P19" s="74"/>
      <c r="Q19" s="74"/>
      <c r="R19" s="74">
        <f>'17'!AD22</f>
        <v>0</v>
      </c>
      <c r="S19" s="74">
        <f>'18'!AD22</f>
        <v>0</v>
      </c>
      <c r="T19" s="74">
        <f>'19'!AD22</f>
        <v>0</v>
      </c>
      <c r="U19" s="74">
        <f>'20'!AD24</f>
        <v>0</v>
      </c>
      <c r="V19" s="74">
        <f>'21'!AD23</f>
        <v>0</v>
      </c>
      <c r="W19" s="74"/>
      <c r="X19" s="74">
        <f>'23'!AD24</f>
        <v>0</v>
      </c>
      <c r="Y19" s="74">
        <f>'24'!AD24</f>
        <v>0</v>
      </c>
      <c r="Z19" s="74">
        <f>'25'!AD23</f>
        <v>0</v>
      </c>
      <c r="AA19" s="74">
        <f>'26'!AD23</f>
        <v>0</v>
      </c>
      <c r="AB19" s="74">
        <f>'27'!AD23</f>
        <v>0</v>
      </c>
      <c r="AC19" s="74">
        <f>'28'!AD22</f>
        <v>0</v>
      </c>
      <c r="AD19" s="74"/>
      <c r="AE19" s="74">
        <f>'30'!AD22</f>
        <v>0</v>
      </c>
      <c r="AF19" s="75">
        <f>'31'!AD23</f>
        <v>0</v>
      </c>
      <c r="AG19" s="76">
        <f t="shared" si="0"/>
        <v>0</v>
      </c>
    </row>
    <row r="20" spans="1:33" ht="21.75" customHeight="1">
      <c r="A20" s="96" t="s">
        <v>136</v>
      </c>
      <c r="B20" s="94"/>
      <c r="C20" s="94">
        <f>'02'!AD23</f>
        <v>0</v>
      </c>
      <c r="D20" s="74">
        <f>'03'!AD24</f>
        <v>0</v>
      </c>
      <c r="E20" s="74">
        <f>'04'!AD23</f>
        <v>0</v>
      </c>
      <c r="F20" s="74">
        <f>'05'!AD24</f>
        <v>0</v>
      </c>
      <c r="G20" s="74">
        <f>'06'!AD23</f>
        <v>0</v>
      </c>
      <c r="H20" s="74"/>
      <c r="I20" s="74"/>
      <c r="J20" s="74">
        <f>'09'!AD23</f>
        <v>0</v>
      </c>
      <c r="K20" s="74">
        <f>'10'!AD23</f>
        <v>0</v>
      </c>
      <c r="L20" s="74">
        <f>'11'!AD24</f>
        <v>0</v>
      </c>
      <c r="M20" s="74">
        <f>'12'!AD24</f>
        <v>0</v>
      </c>
      <c r="N20" s="74">
        <f>'13'!AD24</f>
        <v>0</v>
      </c>
      <c r="O20" s="74"/>
      <c r="P20" s="74"/>
      <c r="Q20" s="74"/>
      <c r="R20" s="74">
        <f>'17'!AD23</f>
        <v>0</v>
      </c>
      <c r="S20" s="74">
        <f>'18'!AD23</f>
        <v>0</v>
      </c>
      <c r="T20" s="74">
        <f>'19'!AD23</f>
        <v>0</v>
      </c>
      <c r="U20" s="74">
        <f>'20'!AD25</f>
        <v>0</v>
      </c>
      <c r="V20" s="74">
        <f>'21'!AD24</f>
        <v>0</v>
      </c>
      <c r="W20" s="74"/>
      <c r="X20" s="74">
        <f>'23'!AD25</f>
        <v>0</v>
      </c>
      <c r="Y20" s="74">
        <f>'24'!AD25</f>
        <v>0</v>
      </c>
      <c r="Z20" s="74">
        <f>'25'!AD24</f>
        <v>0</v>
      </c>
      <c r="AA20" s="74">
        <f>'26'!AD24</f>
        <v>0</v>
      </c>
      <c r="AB20" s="74">
        <f>'27'!AD24</f>
        <v>0</v>
      </c>
      <c r="AC20" s="74">
        <f>'28'!AD23</f>
        <v>0</v>
      </c>
      <c r="AD20" s="74"/>
      <c r="AE20" s="74">
        <f>'30'!AD23</f>
        <v>0</v>
      </c>
      <c r="AF20" s="75">
        <f>'31'!AD24</f>
        <v>0</v>
      </c>
      <c r="AG20" s="76">
        <f t="shared" si="0"/>
        <v>0</v>
      </c>
    </row>
    <row r="21" spans="1:33" ht="21.75" customHeight="1">
      <c r="A21" s="96" t="s">
        <v>137</v>
      </c>
      <c r="B21" s="94"/>
      <c r="C21" s="94">
        <f>'02'!AD24</f>
        <v>0</v>
      </c>
      <c r="D21" s="74">
        <f>'03'!AD25</f>
        <v>0</v>
      </c>
      <c r="E21" s="74">
        <f>'04'!AD24</f>
        <v>0</v>
      </c>
      <c r="F21" s="74">
        <f>'05'!AD25</f>
        <v>0</v>
      </c>
      <c r="G21" s="74">
        <f>'06'!AD24</f>
        <v>0</v>
      </c>
      <c r="H21" s="74"/>
      <c r="I21" s="74"/>
      <c r="J21" s="74">
        <f>'09'!AD24</f>
        <v>0</v>
      </c>
      <c r="K21" s="74">
        <f>'10'!AD24</f>
        <v>0</v>
      </c>
      <c r="L21" s="74">
        <f>'11'!AD25</f>
        <v>0</v>
      </c>
      <c r="M21" s="74">
        <f>'12'!AD25</f>
        <v>0</v>
      </c>
      <c r="N21" s="74">
        <f>'13'!AD25</f>
        <v>0</v>
      </c>
      <c r="O21" s="74"/>
      <c r="P21" s="74"/>
      <c r="Q21" s="74"/>
      <c r="R21" s="74">
        <f>'17'!AD24</f>
        <v>0</v>
      </c>
      <c r="S21" s="74">
        <f>'18'!AD24</f>
        <v>0</v>
      </c>
      <c r="T21" s="74">
        <f>'19'!AD24</f>
        <v>0</v>
      </c>
      <c r="U21" s="74">
        <f>'20'!AD26</f>
        <v>0</v>
      </c>
      <c r="V21" s="74">
        <f>'21'!AD25</f>
        <v>0</v>
      </c>
      <c r="W21" s="74"/>
      <c r="X21" s="74">
        <f>'23'!AD26</f>
        <v>0</v>
      </c>
      <c r="Y21" s="74">
        <f>'24'!AD26</f>
        <v>0</v>
      </c>
      <c r="Z21" s="74">
        <f>'25'!AD25</f>
        <v>0</v>
      </c>
      <c r="AA21" s="74">
        <f>'26'!AD25</f>
        <v>0</v>
      </c>
      <c r="AB21" s="74">
        <f>'27'!AD25</f>
        <v>0</v>
      </c>
      <c r="AC21" s="74">
        <f>'28'!AD24</f>
        <v>0</v>
      </c>
      <c r="AD21" s="74"/>
      <c r="AE21" s="74">
        <f>'30'!AD24</f>
        <v>0</v>
      </c>
      <c r="AF21" s="75">
        <f>'31'!AD25</f>
        <v>0.83333333333333337</v>
      </c>
      <c r="AG21" s="76">
        <f t="shared" si="0"/>
        <v>2.6881720430107527E-2</v>
      </c>
    </row>
    <row r="22" spans="1:33" ht="21.75" customHeight="1">
      <c r="A22" s="96" t="s">
        <v>138</v>
      </c>
      <c r="B22" s="94"/>
      <c r="C22" s="94">
        <f>'02'!AD25</f>
        <v>0</v>
      </c>
      <c r="D22" s="74">
        <f>'03'!AD26</f>
        <v>0</v>
      </c>
      <c r="E22" s="74">
        <f>'04'!AD25</f>
        <v>0</v>
      </c>
      <c r="F22" s="74">
        <f>'05'!AD26</f>
        <v>0</v>
      </c>
      <c r="G22" s="74">
        <f>'06'!AD25</f>
        <v>0</v>
      </c>
      <c r="H22" s="74"/>
      <c r="I22" s="74"/>
      <c r="J22" s="74">
        <f>'09'!AD25</f>
        <v>0</v>
      </c>
      <c r="K22" s="74">
        <f>'10'!AD25</f>
        <v>0</v>
      </c>
      <c r="L22" s="74">
        <f>'11'!AD26</f>
        <v>0</v>
      </c>
      <c r="M22" s="74">
        <f>'12'!AD26</f>
        <v>0</v>
      </c>
      <c r="N22" s="74">
        <f>'13'!AD26</f>
        <v>0</v>
      </c>
      <c r="O22" s="74"/>
      <c r="P22" s="74"/>
      <c r="Q22" s="74"/>
      <c r="R22" s="74">
        <f>'17'!AD25</f>
        <v>0</v>
      </c>
      <c r="S22" s="74">
        <f>'18'!AD25</f>
        <v>0</v>
      </c>
      <c r="T22" s="74">
        <f>'19'!AD25</f>
        <v>0</v>
      </c>
      <c r="U22" s="74">
        <f>'20'!AD27</f>
        <v>0</v>
      </c>
      <c r="V22" s="74">
        <f>'21'!AD26</f>
        <v>0</v>
      </c>
      <c r="W22" s="74"/>
      <c r="X22" s="74">
        <f>'23'!AD27</f>
        <v>0</v>
      </c>
      <c r="Y22" s="74">
        <f>'24'!AD27</f>
        <v>0</v>
      </c>
      <c r="Z22" s="74">
        <f>'25'!AD26</f>
        <v>0</v>
      </c>
      <c r="AA22" s="74">
        <f>'26'!AD26</f>
        <v>0</v>
      </c>
      <c r="AB22" s="74">
        <f>'27'!AD26</f>
        <v>0.299860529986053</v>
      </c>
      <c r="AC22" s="74">
        <f>'28'!AD25</f>
        <v>1</v>
      </c>
      <c r="AD22" s="74"/>
      <c r="AE22" s="74">
        <f>'30'!AD25</f>
        <v>0</v>
      </c>
      <c r="AF22" s="75">
        <f>'31'!AD26</f>
        <v>0.91666666666666663</v>
      </c>
      <c r="AG22" s="76">
        <f t="shared" si="0"/>
        <v>7.1500877311378053E-2</v>
      </c>
    </row>
    <row r="23" spans="1:33" ht="21.75" customHeight="1">
      <c r="A23" s="96" t="s">
        <v>139</v>
      </c>
      <c r="B23" s="94"/>
      <c r="C23" s="94">
        <f>'02'!AD26</f>
        <v>0</v>
      </c>
      <c r="D23" s="74">
        <f>'03'!AD27</f>
        <v>0</v>
      </c>
      <c r="E23" s="74">
        <f>'04'!AD26</f>
        <v>0</v>
      </c>
      <c r="F23" s="74">
        <f>'05'!AD27</f>
        <v>0</v>
      </c>
      <c r="G23" s="74">
        <f>'06'!AD26</f>
        <v>0</v>
      </c>
      <c r="H23" s="74"/>
      <c r="I23" s="74"/>
      <c r="J23" s="74">
        <f>'09'!AD26</f>
        <v>0</v>
      </c>
      <c r="K23" s="74">
        <f>'10'!AD26</f>
        <v>0</v>
      </c>
      <c r="L23" s="74">
        <f>'11'!AD27</f>
        <v>0</v>
      </c>
      <c r="M23" s="74">
        <f>'12'!AD27</f>
        <v>0</v>
      </c>
      <c r="N23" s="74">
        <f>'13'!AD27</f>
        <v>0</v>
      </c>
      <c r="O23" s="74"/>
      <c r="P23" s="74"/>
      <c r="Q23" s="74"/>
      <c r="R23" s="74">
        <f>'17'!AD26</f>
        <v>0</v>
      </c>
      <c r="S23" s="74">
        <f>'18'!AD26</f>
        <v>0</v>
      </c>
      <c r="T23" s="74">
        <f>'19'!AD26</f>
        <v>0</v>
      </c>
      <c r="U23" s="74">
        <f>'20'!AD28</f>
        <v>0</v>
      </c>
      <c r="V23" s="74">
        <f>'21'!AD27</f>
        <v>0</v>
      </c>
      <c r="W23" s="74"/>
      <c r="X23" s="74">
        <f>'23'!AD28</f>
        <v>0</v>
      </c>
      <c r="Y23" s="74">
        <f>'24'!AD28</f>
        <v>0</v>
      </c>
      <c r="Z23" s="74">
        <f>'25'!AD27</f>
        <v>0</v>
      </c>
      <c r="AA23" s="74">
        <f>'26'!AD27</f>
        <v>0</v>
      </c>
      <c r="AB23" s="74">
        <f>'27'!AD27</f>
        <v>0</v>
      </c>
      <c r="AC23" s="74">
        <f>'28'!AD26</f>
        <v>0</v>
      </c>
      <c r="AD23" s="74"/>
      <c r="AE23" s="74">
        <f>'30'!AD26</f>
        <v>0</v>
      </c>
      <c r="AF23" s="75">
        <f>'31'!AD27</f>
        <v>0</v>
      </c>
      <c r="AG23" s="76">
        <f t="shared" si="0"/>
        <v>0</v>
      </c>
    </row>
    <row r="24" spans="1:33" ht="21.75" customHeight="1" thickBot="1">
      <c r="A24" s="97" t="s">
        <v>140</v>
      </c>
      <c r="B24" s="95"/>
      <c r="C24" s="95">
        <f>'02'!AD27</f>
        <v>0</v>
      </c>
      <c r="D24" s="77">
        <f>'03'!AD28</f>
        <v>0</v>
      </c>
      <c r="E24" s="77">
        <f>'04'!AD27</f>
        <v>0</v>
      </c>
      <c r="F24" s="77">
        <f>'05'!AD28</f>
        <v>0</v>
      </c>
      <c r="G24" s="77">
        <f>'06'!AD27</f>
        <v>0</v>
      </c>
      <c r="H24" s="77"/>
      <c r="I24" s="77"/>
      <c r="J24" s="77">
        <f>'09'!AD27</f>
        <v>0</v>
      </c>
      <c r="K24" s="77">
        <f>'10'!AD27</f>
        <v>0</v>
      </c>
      <c r="L24" s="77">
        <f>'11'!AD28</f>
        <v>0</v>
      </c>
      <c r="M24" s="77">
        <f>'12'!AD28</f>
        <v>0</v>
      </c>
      <c r="N24" s="77">
        <f>'13'!AD28</f>
        <v>0</v>
      </c>
      <c r="O24" s="77"/>
      <c r="P24" s="77"/>
      <c r="Q24" s="77"/>
      <c r="R24" s="77">
        <f>'17'!AD27</f>
        <v>0</v>
      </c>
      <c r="S24" s="77">
        <f>'18'!AD27</f>
        <v>0</v>
      </c>
      <c r="T24" s="77">
        <f>'19'!AD27</f>
        <v>0</v>
      </c>
      <c r="U24" s="77">
        <f>'20'!AD29</f>
        <v>0</v>
      </c>
      <c r="V24" s="77">
        <f>'21'!AD28</f>
        <v>0</v>
      </c>
      <c r="W24" s="77"/>
      <c r="X24" s="77">
        <f>'23'!AD29</f>
        <v>0</v>
      </c>
      <c r="Y24" s="77">
        <f>'24'!AD29</f>
        <v>0</v>
      </c>
      <c r="Z24" s="77">
        <f>'25'!AD28</f>
        <v>0</v>
      </c>
      <c r="AA24" s="77">
        <f>'26'!AD28</f>
        <v>0</v>
      </c>
      <c r="AB24" s="77">
        <f>'27'!AD28</f>
        <v>0</v>
      </c>
      <c r="AC24" s="77">
        <f>'28'!AD27</f>
        <v>0.91666666666666663</v>
      </c>
      <c r="AD24" s="77"/>
      <c r="AE24" s="77">
        <f>'30'!AD27</f>
        <v>0</v>
      </c>
      <c r="AF24" s="78">
        <f>'31'!AD28</f>
        <v>0.875</v>
      </c>
      <c r="AG24" s="79">
        <f t="shared" si="0"/>
        <v>5.779569892473118E-2</v>
      </c>
    </row>
    <row r="25" spans="1:33" s="80" customFormat="1" ht="21.75" customHeight="1">
      <c r="A25" s="84" t="s">
        <v>104</v>
      </c>
      <c r="B25" s="88"/>
      <c r="C25" s="88">
        <f>'02'!AD28</f>
        <v>0.42424242424242425</v>
      </c>
      <c r="D25" s="89">
        <f>'03'!AD29</f>
        <v>0.28804347826086957</v>
      </c>
      <c r="E25" s="89">
        <f>'04'!AD28</f>
        <v>0.26325757575757575</v>
      </c>
      <c r="F25" s="89">
        <f>'05'!AD29</f>
        <v>0.2705302764508497</v>
      </c>
      <c r="G25" s="89">
        <f>'06'!AD28</f>
        <v>0.42613636363636365</v>
      </c>
      <c r="H25" s="89"/>
      <c r="I25" s="89"/>
      <c r="J25" s="89">
        <f>'09'!AD28</f>
        <v>0.34848484848484851</v>
      </c>
      <c r="K25" s="89">
        <f>'10'!AD28</f>
        <v>0.31060606060606061</v>
      </c>
      <c r="L25" s="89">
        <f>'11'!AD29</f>
        <v>0.1992753623188406</v>
      </c>
      <c r="M25" s="89">
        <f>'12'!AD29</f>
        <v>0.1992753623188406</v>
      </c>
      <c r="N25" s="89">
        <f>'13'!AD29</f>
        <v>0.31521739130434784</v>
      </c>
      <c r="O25" s="89"/>
      <c r="P25" s="89"/>
      <c r="Q25" s="89"/>
      <c r="R25" s="89">
        <f>'17'!AD28</f>
        <v>0.35795454545454547</v>
      </c>
      <c r="S25" s="89">
        <f>'18'!AD28</f>
        <v>0.38257575757575757</v>
      </c>
      <c r="T25" s="89">
        <f>'19'!AD28</f>
        <v>0.37310606060606061</v>
      </c>
      <c r="U25" s="89">
        <f>'20'!AD30</f>
        <v>0.43229166666666669</v>
      </c>
      <c r="V25" s="89">
        <f>'21'!AD29</f>
        <v>0.40217391304347827</v>
      </c>
      <c r="W25" s="89"/>
      <c r="X25" s="89">
        <f>'23'!AD30</f>
        <v>0.36330667293970048</v>
      </c>
      <c r="Y25" s="89">
        <f>'24'!AD30</f>
        <v>0.37673611111111116</v>
      </c>
      <c r="Z25" s="89">
        <f>'25'!AD29</f>
        <v>0.42210144927536236</v>
      </c>
      <c r="AA25" s="89">
        <f>'26'!AD29</f>
        <v>0.36775362318840582</v>
      </c>
      <c r="AB25" s="89">
        <f>'27'!AD29</f>
        <v>0.42970408101388635</v>
      </c>
      <c r="AC25" s="89">
        <f>'28'!AD28</f>
        <v>0.58224495460962045</v>
      </c>
      <c r="AD25" s="89"/>
      <c r="AE25" s="89">
        <f>'30'!AD28</f>
        <v>0.40807645419714389</v>
      </c>
      <c r="AF25" s="90">
        <f>'31'!AD29</f>
        <v>0.55978260869565222</v>
      </c>
      <c r="AG25" s="91">
        <f t="shared" si="0"/>
        <v>0.2742863561857552</v>
      </c>
    </row>
    <row r="26" spans="1:33" ht="21.75" customHeight="1" thickBot="1">
      <c r="A26" s="69" t="s">
        <v>108</v>
      </c>
      <c r="B26" s="70">
        <v>0.62</v>
      </c>
      <c r="C26" s="71">
        <v>0.62</v>
      </c>
      <c r="D26" s="71">
        <v>0.62</v>
      </c>
      <c r="E26" s="71">
        <v>0.62</v>
      </c>
      <c r="F26" s="71">
        <v>0.62</v>
      </c>
      <c r="G26" s="71">
        <v>0.62</v>
      </c>
      <c r="H26" s="71">
        <v>0.62</v>
      </c>
      <c r="I26" s="71">
        <v>0.62</v>
      </c>
      <c r="J26" s="71">
        <v>0.62</v>
      </c>
      <c r="K26" s="71">
        <v>0.62</v>
      </c>
      <c r="L26" s="71">
        <v>0.62</v>
      </c>
      <c r="M26" s="71">
        <v>0.62</v>
      </c>
      <c r="N26" s="71">
        <v>0.62</v>
      </c>
      <c r="O26" s="71">
        <v>0.62</v>
      </c>
      <c r="P26" s="71">
        <v>0.62</v>
      </c>
      <c r="Q26" s="71">
        <v>0.62</v>
      </c>
      <c r="R26" s="71">
        <v>0.62</v>
      </c>
      <c r="S26" s="71">
        <v>0.62</v>
      </c>
      <c r="T26" s="71">
        <v>0.62</v>
      </c>
      <c r="U26" s="71">
        <v>0.62</v>
      </c>
      <c r="V26" s="71">
        <v>0.62</v>
      </c>
      <c r="W26" s="71">
        <v>0.62</v>
      </c>
      <c r="X26" s="71">
        <v>0.62</v>
      </c>
      <c r="Y26" s="71">
        <v>0.62</v>
      </c>
      <c r="Z26" s="71">
        <v>0.62</v>
      </c>
      <c r="AA26" s="71">
        <v>0.62</v>
      </c>
      <c r="AB26" s="71">
        <v>0.62</v>
      </c>
      <c r="AC26" s="71">
        <v>0.62</v>
      </c>
      <c r="AD26" s="71">
        <v>0.62</v>
      </c>
      <c r="AE26" s="71">
        <v>0.62</v>
      </c>
      <c r="AF26" s="72">
        <v>0.62</v>
      </c>
      <c r="AG26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46</vt:i4>
      </vt:variant>
    </vt:vector>
  </HeadingPairs>
  <TitlesOfParts>
    <vt:vector size="70" baseType="lpstr">
      <vt:lpstr>02</vt:lpstr>
      <vt:lpstr>03</vt:lpstr>
      <vt:lpstr>04</vt:lpstr>
      <vt:lpstr>05</vt:lpstr>
      <vt:lpstr>06</vt:lpstr>
      <vt:lpstr>09</vt:lpstr>
      <vt:lpstr>10</vt:lpstr>
      <vt:lpstr>11</vt:lpstr>
      <vt:lpstr>12</vt:lpstr>
      <vt:lpstr>13</vt:lpstr>
      <vt:lpstr>17</vt:lpstr>
      <vt:lpstr>18</vt:lpstr>
      <vt:lpstr>19</vt:lpstr>
      <vt:lpstr>20</vt:lpstr>
      <vt:lpstr>21</vt:lpstr>
      <vt:lpstr>23</vt:lpstr>
      <vt:lpstr>24</vt:lpstr>
      <vt:lpstr>25</vt:lpstr>
      <vt:lpstr>26</vt:lpstr>
      <vt:lpstr>27</vt:lpstr>
      <vt:lpstr>28</vt:lpstr>
      <vt:lpstr>30</vt:lpstr>
      <vt:lpstr>31</vt:lpstr>
      <vt:lpstr>총괄</vt:lpstr>
      <vt:lpstr>'02'!Print_Area</vt:lpstr>
      <vt:lpstr>'03'!Print_Area</vt:lpstr>
      <vt:lpstr>'04'!Print_Area</vt:lpstr>
      <vt:lpstr>'05'!Print_Area</vt:lpstr>
      <vt:lpstr>'06'!Print_Area</vt:lpstr>
      <vt:lpstr>'09'!Print_Area</vt:lpstr>
      <vt:lpstr>'10'!Print_Area</vt:lpstr>
      <vt:lpstr>'11'!Print_Area</vt:lpstr>
      <vt:lpstr>'12'!Print_Area</vt:lpstr>
      <vt:lpstr>'13'!Print_Area</vt:lpstr>
      <vt:lpstr>'17'!Print_Area</vt:lpstr>
      <vt:lpstr>'18'!Print_Area</vt:lpstr>
      <vt:lpstr>'19'!Print_Area</vt:lpstr>
      <vt:lpstr>'20'!Print_Area</vt:lpstr>
      <vt:lpstr>'21'!Print_Area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'30'!Print_Area</vt:lpstr>
      <vt:lpstr>'31'!Print_Area</vt:lpstr>
      <vt:lpstr>'02'!ㅁ1</vt:lpstr>
      <vt:lpstr>'03'!ㅁ1</vt:lpstr>
      <vt:lpstr>'04'!ㅁ1</vt:lpstr>
      <vt:lpstr>'05'!ㅁ1</vt:lpstr>
      <vt:lpstr>'06'!ㅁ1</vt:lpstr>
      <vt:lpstr>'09'!ㅁ1</vt:lpstr>
      <vt:lpstr>'10'!ㅁ1</vt:lpstr>
      <vt:lpstr>'11'!ㅁ1</vt:lpstr>
      <vt:lpstr>'12'!ㅁ1</vt:lpstr>
      <vt:lpstr>'13'!ㅁ1</vt:lpstr>
      <vt:lpstr>'17'!ㅁ1</vt:lpstr>
      <vt:lpstr>'18'!ㅁ1</vt:lpstr>
      <vt:lpstr>'19'!ㅁ1</vt:lpstr>
      <vt:lpstr>'20'!ㅁ1</vt:lpstr>
      <vt:lpstr>'21'!ㅁ1</vt:lpstr>
      <vt:lpstr>'23'!ㅁ1</vt:lpstr>
      <vt:lpstr>'24'!ㅁ1</vt:lpstr>
      <vt:lpstr>'25'!ㅁ1</vt:lpstr>
      <vt:lpstr>'26'!ㅁ1</vt:lpstr>
      <vt:lpstr>'27'!ㅁ1</vt:lpstr>
      <vt:lpstr>'28'!ㅁ1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2021-05-10T23:53:31Z</cp:lastPrinted>
  <dcterms:created xsi:type="dcterms:W3CDTF">2014-05-16T00:06:55Z</dcterms:created>
  <dcterms:modified xsi:type="dcterms:W3CDTF">2021-09-01T13:48:00Z</dcterms:modified>
</cp:coreProperties>
</file>